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422E28C4-9B0D-4C59-B392-7422CD9EEB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KTUÁLNÍ ZI zm. č.4" sheetId="18" r:id="rId1"/>
  </sheets>
  <definedNames>
    <definedName name="_xlnm._FilterDatabase" localSheetId="0" hidden="1">'AKTUÁLNÍ ZI zm. č.4'!$A$4:$AI$428</definedName>
    <definedName name="_xlnm.Print_Titles" localSheetId="0">'AKTUÁLNÍ ZI zm. č.4'!$1:$3</definedName>
    <definedName name="_xlnm.Print_Area" localSheetId="0">'AKTUÁLNÍ ZI zm. č.4'!$A$1:$AI$437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4" i="18" l="1"/>
  <c r="U144" i="18"/>
  <c r="K426" i="18" l="1"/>
  <c r="K422" i="18"/>
  <c r="K368" i="18"/>
  <c r="K363" i="18"/>
  <c r="K359" i="18"/>
  <c r="K353" i="18"/>
  <c r="K328" i="18"/>
  <c r="K291" i="18"/>
  <c r="K190" i="18"/>
  <c r="K47" i="18"/>
  <c r="K28" i="18"/>
  <c r="K9" i="18"/>
  <c r="Q300" i="18"/>
  <c r="P300" i="18"/>
  <c r="Q296" i="18"/>
  <c r="P296" i="18"/>
  <c r="Q144" i="18"/>
  <c r="P144" i="18"/>
  <c r="Q126" i="18"/>
  <c r="P126" i="18"/>
  <c r="P78" i="18"/>
  <c r="P70" i="18"/>
  <c r="Q70" i="18"/>
  <c r="Q411" i="18"/>
  <c r="P411" i="18"/>
  <c r="Q410" i="18"/>
  <c r="Q409" i="18"/>
  <c r="P409" i="18"/>
  <c r="P395" i="18"/>
  <c r="S395" i="18"/>
  <c r="P381" i="18"/>
  <c r="Q378" i="18"/>
  <c r="P378" i="18"/>
  <c r="Q355" i="18"/>
  <c r="P355" i="18"/>
  <c r="Q337" i="18"/>
  <c r="P337" i="18"/>
  <c r="Q318" i="18"/>
  <c r="P318" i="18"/>
  <c r="Q307" i="18"/>
  <c r="P307" i="18"/>
  <c r="Q306" i="18"/>
  <c r="P306" i="18"/>
  <c r="P304" i="18"/>
  <c r="Q303" i="18"/>
  <c r="P303" i="18"/>
  <c r="P301" i="18"/>
  <c r="Q301" i="18"/>
  <c r="Q292" i="18"/>
  <c r="P292" i="18"/>
  <c r="Q263" i="18"/>
  <c r="P263" i="18"/>
  <c r="P216" i="18"/>
  <c r="Q198" i="18"/>
  <c r="Q118" i="18"/>
  <c r="P118" i="18"/>
  <c r="Q195" i="18"/>
  <c r="P195" i="18"/>
  <c r="P172" i="18"/>
  <c r="Q172" i="18"/>
  <c r="Q141" i="18"/>
  <c r="P141" i="18"/>
  <c r="Q121" i="18"/>
  <c r="Q110" i="18"/>
  <c r="Q109" i="18"/>
  <c r="Q102" i="18"/>
  <c r="Q88" i="18"/>
  <c r="P88" i="18"/>
  <c r="Q87" i="18"/>
  <c r="P87" i="18"/>
  <c r="Q83" i="18"/>
  <c r="P75" i="18"/>
  <c r="Q73" i="18"/>
  <c r="Q71" i="18"/>
  <c r="P67" i="18"/>
  <c r="Q65" i="18"/>
  <c r="P65" i="18"/>
  <c r="Q59" i="18"/>
  <c r="Q52" i="18"/>
  <c r="Q50" i="18"/>
  <c r="Q48" i="18"/>
  <c r="P48" i="18"/>
  <c r="Q49" i="18"/>
  <c r="P49" i="18"/>
  <c r="M298" i="18"/>
  <c r="M328" i="18" s="1"/>
  <c r="M202" i="18"/>
  <c r="M291" i="18" s="1"/>
  <c r="L411" i="18"/>
  <c r="L355" i="18"/>
  <c r="L337" i="18"/>
  <c r="L298" i="18"/>
  <c r="L296" i="18"/>
  <c r="L193" i="18"/>
  <c r="L87" i="18"/>
  <c r="M426" i="18"/>
  <c r="M422" i="18"/>
  <c r="M368" i="18"/>
  <c r="M363" i="18"/>
  <c r="M359" i="18"/>
  <c r="M353" i="18"/>
  <c r="M190" i="18"/>
  <c r="M47" i="18"/>
  <c r="M28" i="18"/>
  <c r="M9" i="18"/>
  <c r="K427" i="18" l="1"/>
  <c r="M427" i="18"/>
  <c r="AD9" i="18"/>
  <c r="AD28" i="18"/>
  <c r="AD47" i="18"/>
  <c r="AD190" i="18"/>
  <c r="AD291" i="18"/>
  <c r="AD328" i="18"/>
  <c r="AD426" i="18"/>
  <c r="AD422" i="18"/>
  <c r="AD368" i="18"/>
  <c r="AD363" i="18"/>
  <c r="AD359" i="18"/>
  <c r="AD353" i="18"/>
  <c r="AD427" i="18" l="1"/>
  <c r="T366" i="18"/>
  <c r="T365" i="18"/>
  <c r="T364" i="18"/>
  <c r="T357" i="18" l="1"/>
  <c r="T356" i="18"/>
  <c r="T355" i="18"/>
  <c r="N355" i="18"/>
  <c r="T354" i="18"/>
  <c r="T44" i="18" l="1"/>
  <c r="T43" i="18"/>
  <c r="Y42" i="18"/>
  <c r="T42" i="18"/>
  <c r="H42" i="18"/>
  <c r="T41" i="18"/>
  <c r="T40" i="18"/>
  <c r="H40" i="18"/>
  <c r="T39" i="18"/>
  <c r="T38" i="18"/>
  <c r="T37" i="18"/>
  <c r="T36" i="18"/>
  <c r="Y35" i="18"/>
  <c r="W35" i="18"/>
  <c r="T35" i="18"/>
  <c r="H35" i="18"/>
  <c r="Y34" i="18"/>
  <c r="V34" i="18"/>
  <c r="S34" i="18"/>
  <c r="T34" i="18" s="1"/>
  <c r="H34" i="18"/>
  <c r="T33" i="18"/>
  <c r="H33" i="18"/>
  <c r="Z32" i="18"/>
  <c r="T32" i="18"/>
  <c r="N32" i="18"/>
  <c r="H32" i="18"/>
  <c r="Z31" i="18"/>
  <c r="T31" i="18"/>
  <c r="T30" i="18"/>
  <c r="O30" i="18"/>
  <c r="H30" i="18"/>
  <c r="W29" i="18"/>
  <c r="Y29" i="18" s="1"/>
  <c r="T29" i="18"/>
  <c r="N29" i="18"/>
  <c r="H29" i="18"/>
  <c r="T326" i="18" l="1"/>
  <c r="T323" i="18"/>
  <c r="T322" i="18"/>
  <c r="T321" i="18"/>
  <c r="T320" i="18"/>
  <c r="T319" i="18"/>
  <c r="T318" i="18"/>
  <c r="T317" i="18"/>
  <c r="T316" i="18"/>
  <c r="T315" i="18"/>
  <c r="N315" i="18"/>
  <c r="T314" i="18"/>
  <c r="N314" i="18"/>
  <c r="T313" i="18"/>
  <c r="T312" i="18"/>
  <c r="T311" i="18"/>
  <c r="T310" i="18"/>
  <c r="T309" i="18"/>
  <c r="N309" i="18"/>
  <c r="Y308" i="18"/>
  <c r="T308" i="18"/>
  <c r="T307" i="18"/>
  <c r="N307" i="18"/>
  <c r="T306" i="18"/>
  <c r="O306" i="18"/>
  <c r="N306" i="18"/>
  <c r="H306" i="18"/>
  <c r="T305" i="18"/>
  <c r="O305" i="18"/>
  <c r="Y304" i="18"/>
  <c r="T304" i="18"/>
  <c r="N304" i="18"/>
  <c r="T303" i="18"/>
  <c r="T302" i="18"/>
  <c r="T301" i="18"/>
  <c r="T300" i="18"/>
  <c r="O300" i="18"/>
  <c r="N300" i="18"/>
  <c r="T299" i="18"/>
  <c r="T298" i="18"/>
  <c r="T297" i="18"/>
  <c r="T296" i="18"/>
  <c r="N296" i="18"/>
  <c r="H296" i="18"/>
  <c r="T295" i="18"/>
  <c r="T294" i="18"/>
  <c r="T293" i="18"/>
  <c r="N293" i="18"/>
  <c r="H293" i="18"/>
  <c r="T292" i="18"/>
  <c r="T361" i="18" l="1"/>
  <c r="T360" i="18"/>
  <c r="T7" i="18" l="1"/>
  <c r="T6" i="18"/>
  <c r="N6" i="18"/>
  <c r="H6" i="18"/>
  <c r="T5" i="18"/>
  <c r="T424" i="18" l="1"/>
  <c r="T423" i="18"/>
  <c r="T288" i="18" l="1"/>
  <c r="T287" i="18"/>
  <c r="T286" i="18"/>
  <c r="T285" i="18"/>
  <c r="T284" i="18"/>
  <c r="T283" i="18"/>
  <c r="T282" i="18"/>
  <c r="T281" i="18"/>
  <c r="T280" i="18"/>
  <c r="T279" i="18"/>
  <c r="X278" i="18"/>
  <c r="T278" i="18"/>
  <c r="T277" i="18"/>
  <c r="T276" i="18"/>
  <c r="T275" i="18"/>
  <c r="T274" i="18"/>
  <c r="T273" i="18"/>
  <c r="T272" i="18"/>
  <c r="T271" i="18"/>
  <c r="T270" i="18"/>
  <c r="AA269" i="18"/>
  <c r="T269" i="18"/>
  <c r="H269" i="18"/>
  <c r="T268" i="18"/>
  <c r="T267" i="18"/>
  <c r="Q267" i="18"/>
  <c r="T266" i="18"/>
  <c r="T265" i="18"/>
  <c r="T264" i="18"/>
  <c r="T263" i="18"/>
  <c r="T262" i="18"/>
  <c r="P262" i="18"/>
  <c r="T261" i="18"/>
  <c r="T260" i="18"/>
  <c r="T259" i="18"/>
  <c r="T258" i="18"/>
  <c r="T257" i="18"/>
  <c r="T256" i="18"/>
  <c r="H256" i="18"/>
  <c r="T255" i="18"/>
  <c r="Q255" i="18"/>
  <c r="T254" i="18"/>
  <c r="T253" i="18"/>
  <c r="T252" i="18"/>
  <c r="T251" i="18"/>
  <c r="T250" i="18"/>
  <c r="T249" i="18"/>
  <c r="T248" i="18"/>
  <c r="T247" i="18"/>
  <c r="T246" i="18"/>
  <c r="T245" i="18"/>
  <c r="T244" i="18"/>
  <c r="H244" i="18"/>
  <c r="T243" i="18"/>
  <c r="T242" i="18"/>
  <c r="T241" i="18"/>
  <c r="T240" i="18"/>
  <c r="T239" i="18"/>
  <c r="T238" i="18"/>
  <c r="T237" i="18"/>
  <c r="T236" i="18"/>
  <c r="T235" i="18"/>
  <c r="T234" i="18"/>
  <c r="T233" i="18"/>
  <c r="T232" i="18"/>
  <c r="N232" i="18"/>
  <c r="T231" i="18"/>
  <c r="T230" i="18"/>
  <c r="T229" i="18"/>
  <c r="T228" i="18"/>
  <c r="T227" i="18"/>
  <c r="T226" i="18"/>
  <c r="T225" i="18"/>
  <c r="T224" i="18"/>
  <c r="T223" i="18"/>
  <c r="P223" i="18"/>
  <c r="N223" i="18"/>
  <c r="T222" i="18"/>
  <c r="T221" i="18"/>
  <c r="T220" i="18"/>
  <c r="T219" i="18"/>
  <c r="T218" i="18"/>
  <c r="Y217" i="18"/>
  <c r="W217" i="18"/>
  <c r="T217" i="18"/>
  <c r="T216" i="18"/>
  <c r="T215" i="18"/>
  <c r="T214" i="18"/>
  <c r="T213" i="18"/>
  <c r="T212" i="18"/>
  <c r="T211" i="18"/>
  <c r="T210" i="18"/>
  <c r="P210" i="18"/>
  <c r="T209" i="18"/>
  <c r="T208" i="18"/>
  <c r="T207" i="18"/>
  <c r="Q207" i="18"/>
  <c r="T206" i="18"/>
  <c r="T205" i="18"/>
  <c r="N205" i="18"/>
  <c r="T204" i="18"/>
  <c r="N204" i="18"/>
  <c r="T203" i="18"/>
  <c r="Q203" i="18"/>
  <c r="N203" i="18"/>
  <c r="T202" i="18"/>
  <c r="O202" i="18"/>
  <c r="T201" i="18"/>
  <c r="T200" i="18"/>
  <c r="T199" i="18"/>
  <c r="T198" i="18"/>
  <c r="T197" i="18"/>
  <c r="Y196" i="18"/>
  <c r="T196" i="18"/>
  <c r="Y195" i="18"/>
  <c r="T195" i="18"/>
  <c r="H195" i="18"/>
  <c r="T194" i="18"/>
  <c r="T193" i="18"/>
  <c r="O193" i="18"/>
  <c r="N193" i="18"/>
  <c r="H193" i="18"/>
  <c r="Z192" i="18"/>
  <c r="T192" i="18"/>
  <c r="N192" i="18"/>
  <c r="H192" i="18"/>
  <c r="T191" i="18"/>
  <c r="T188" i="18" l="1"/>
  <c r="T187" i="18"/>
  <c r="S186" i="18"/>
  <c r="T186" i="18" s="1"/>
  <c r="S185" i="18"/>
  <c r="T185" i="18" s="1"/>
  <c r="S184" i="18"/>
  <c r="T184" i="18" s="1"/>
  <c r="S183" i="18"/>
  <c r="T183" i="18" s="1"/>
  <c r="S182" i="18"/>
  <c r="T182" i="18" s="1"/>
  <c r="S181" i="18"/>
  <c r="T181" i="18" s="1"/>
  <c r="S180" i="18"/>
  <c r="T180" i="18" s="1"/>
  <c r="S179" i="18"/>
  <c r="T179" i="18" s="1"/>
  <c r="S178" i="18"/>
  <c r="T178" i="18" s="1"/>
  <c r="S177" i="18"/>
  <c r="T177" i="18" s="1"/>
  <c r="S176" i="18"/>
  <c r="T176" i="18" s="1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O141" i="18"/>
  <c r="T140" i="18"/>
  <c r="T139" i="18"/>
  <c r="T138" i="18"/>
  <c r="T137" i="18"/>
  <c r="T136" i="18"/>
  <c r="T135" i="18"/>
  <c r="T134" i="18"/>
  <c r="T133" i="18"/>
  <c r="Q133" i="18"/>
  <c r="T132" i="18"/>
  <c r="O132" i="18"/>
  <c r="T131" i="18"/>
  <c r="T130" i="18"/>
  <c r="T129" i="18"/>
  <c r="T128" i="18"/>
  <c r="N128" i="18"/>
  <c r="T127" i="18"/>
  <c r="N127" i="18"/>
  <c r="H127" i="18"/>
  <c r="T126" i="18"/>
  <c r="H126" i="18"/>
  <c r="T125" i="18"/>
  <c r="T124" i="18"/>
  <c r="T123" i="18"/>
  <c r="N123" i="18"/>
  <c r="T122" i="18"/>
  <c r="N122" i="18"/>
  <c r="H122" i="18"/>
  <c r="T121" i="18"/>
  <c r="O121" i="18"/>
  <c r="T120" i="18"/>
  <c r="N120" i="18"/>
  <c r="H120" i="18"/>
  <c r="T119" i="18"/>
  <c r="N119" i="18"/>
  <c r="H119" i="18"/>
  <c r="T118" i="18"/>
  <c r="O118" i="18"/>
  <c r="N118" i="18"/>
  <c r="T117" i="18"/>
  <c r="H117" i="18"/>
  <c r="T116" i="18"/>
  <c r="Q116" i="18"/>
  <c r="T115" i="18"/>
  <c r="T114" i="18"/>
  <c r="I114" i="18"/>
  <c r="H114" i="18"/>
  <c r="T113" i="18"/>
  <c r="T112" i="18"/>
  <c r="T111" i="18"/>
  <c r="T110" i="18"/>
  <c r="T109" i="18"/>
  <c r="T108" i="18"/>
  <c r="H108" i="18"/>
  <c r="T107" i="18"/>
  <c r="T106" i="18"/>
  <c r="T105" i="18"/>
  <c r="T104" i="18"/>
  <c r="N104" i="18"/>
  <c r="T103" i="18"/>
  <c r="Q103" i="18"/>
  <c r="T102" i="18"/>
  <c r="N102" i="18"/>
  <c r="T101" i="18"/>
  <c r="T100" i="18"/>
  <c r="T99" i="18"/>
  <c r="T98" i="18"/>
  <c r="T97" i="18"/>
  <c r="T96" i="18"/>
  <c r="T95" i="18"/>
  <c r="T94" i="18"/>
  <c r="T93" i="18"/>
  <c r="Q93" i="18"/>
  <c r="P93" i="18"/>
  <c r="T92" i="18"/>
  <c r="T91" i="18"/>
  <c r="T90" i="18"/>
  <c r="T89" i="18"/>
  <c r="T88" i="18"/>
  <c r="T87" i="18"/>
  <c r="T86" i="18"/>
  <c r="T85" i="18"/>
  <c r="T84" i="18"/>
  <c r="T83" i="18"/>
  <c r="O83" i="18"/>
  <c r="N83" i="18"/>
  <c r="H83" i="18"/>
  <c r="T82" i="18"/>
  <c r="T81" i="18"/>
  <c r="H81" i="18"/>
  <c r="T80" i="18"/>
  <c r="T79" i="18"/>
  <c r="T78" i="18"/>
  <c r="T77" i="18"/>
  <c r="T76" i="18"/>
  <c r="T75" i="18"/>
  <c r="O75" i="18"/>
  <c r="N75" i="18"/>
  <c r="T74" i="18"/>
  <c r="N74" i="18"/>
  <c r="T73" i="18"/>
  <c r="N73" i="18"/>
  <c r="T72" i="18"/>
  <c r="T71" i="18"/>
  <c r="T70" i="18"/>
  <c r="T69" i="18"/>
  <c r="H69" i="18"/>
  <c r="T68" i="18"/>
  <c r="O68" i="18"/>
  <c r="T67" i="18"/>
  <c r="H67" i="18"/>
  <c r="T66" i="18"/>
  <c r="H66" i="18"/>
  <c r="T65" i="18"/>
  <c r="N65" i="18"/>
  <c r="T64" i="18"/>
  <c r="T63" i="18"/>
  <c r="T62" i="18"/>
  <c r="T61" i="18"/>
  <c r="T60" i="18"/>
  <c r="N60" i="18"/>
  <c r="T59" i="18"/>
  <c r="H59" i="18"/>
  <c r="T58" i="18"/>
  <c r="H58" i="18"/>
  <c r="T57" i="18"/>
  <c r="H57" i="18"/>
  <c r="T56" i="18"/>
  <c r="T55" i="18"/>
  <c r="Q55" i="18"/>
  <c r="N55" i="18"/>
  <c r="H55" i="18"/>
  <c r="T54" i="18"/>
  <c r="H54" i="18"/>
  <c r="T53" i="18"/>
  <c r="T52" i="18"/>
  <c r="O52" i="18"/>
  <c r="T51" i="18"/>
  <c r="H51" i="18"/>
  <c r="T50" i="18"/>
  <c r="T49" i="18"/>
  <c r="O49" i="18"/>
  <c r="N49" i="18"/>
  <c r="H49" i="18"/>
  <c r="T48" i="18"/>
  <c r="O48" i="18"/>
  <c r="N48" i="18"/>
  <c r="H48" i="18"/>
  <c r="Q22" i="18" l="1"/>
  <c r="H22" i="18"/>
  <c r="O381" i="18" l="1"/>
  <c r="T330" i="18"/>
  <c r="N381" i="18"/>
  <c r="T17" i="18"/>
  <c r="T26" i="18"/>
  <c r="T25" i="18"/>
  <c r="T24" i="18"/>
  <c r="T23" i="18"/>
  <c r="T22" i="18"/>
  <c r="T21" i="18"/>
  <c r="T20" i="18"/>
  <c r="N20" i="18"/>
  <c r="T19" i="18"/>
  <c r="Q19" i="18"/>
  <c r="N19" i="18"/>
  <c r="T18" i="18"/>
  <c r="N17" i="18"/>
  <c r="T16" i="18"/>
  <c r="N16" i="18"/>
  <c r="H16" i="18"/>
  <c r="T15" i="18"/>
  <c r="H15" i="18"/>
  <c r="T14" i="18"/>
  <c r="N14" i="18"/>
  <c r="H14" i="18"/>
  <c r="T13" i="18"/>
  <c r="N13" i="18"/>
  <c r="T12" i="18"/>
  <c r="H12" i="18"/>
  <c r="T11" i="18"/>
  <c r="T10" i="18"/>
  <c r="L410" i="18" l="1"/>
  <c r="T420" i="18" l="1"/>
  <c r="T419" i="18"/>
  <c r="T418" i="18"/>
  <c r="T417" i="18"/>
  <c r="T416" i="18"/>
  <c r="T415" i="18"/>
  <c r="T414" i="18"/>
  <c r="T413" i="18"/>
  <c r="T412" i="18"/>
  <c r="T411" i="18"/>
  <c r="T410" i="18"/>
  <c r="T409" i="18"/>
  <c r="T408" i="18"/>
  <c r="T407" i="18"/>
  <c r="T406" i="18"/>
  <c r="N406" i="18"/>
  <c r="T405" i="18"/>
  <c r="T404" i="18"/>
  <c r="T403" i="18"/>
  <c r="T402" i="18"/>
  <c r="T401" i="18"/>
  <c r="T400" i="18"/>
  <c r="T399" i="18"/>
  <c r="T398" i="18"/>
  <c r="T397" i="18"/>
  <c r="T396" i="18"/>
  <c r="T395" i="18"/>
  <c r="T394" i="18"/>
  <c r="Q394" i="18"/>
  <c r="N394" i="18"/>
  <c r="T393" i="18"/>
  <c r="N393" i="18"/>
  <c r="T392" i="18"/>
  <c r="T391" i="18"/>
  <c r="T390" i="18"/>
  <c r="T389" i="18"/>
  <c r="T388" i="18"/>
  <c r="T387" i="18"/>
  <c r="T386" i="18"/>
  <c r="T385" i="18"/>
  <c r="O385" i="18"/>
  <c r="T384" i="18"/>
  <c r="N384" i="18"/>
  <c r="T383" i="18"/>
  <c r="P383" i="18"/>
  <c r="O383" i="18"/>
  <c r="T382" i="18"/>
  <c r="H382" i="18"/>
  <c r="T381" i="18"/>
  <c r="T380" i="18"/>
  <c r="T379" i="18"/>
  <c r="N379" i="18"/>
  <c r="T378" i="18"/>
  <c r="T377" i="18"/>
  <c r="N377" i="18"/>
  <c r="T376" i="18"/>
  <c r="T375" i="18"/>
  <c r="T374" i="18"/>
  <c r="T373" i="18"/>
  <c r="P373" i="18"/>
  <c r="O373" i="18"/>
  <c r="T372" i="18"/>
  <c r="T371" i="18"/>
  <c r="T370" i="18"/>
  <c r="T369" i="18"/>
  <c r="T351" i="18" l="1"/>
  <c r="T350" i="18"/>
  <c r="T349" i="18"/>
  <c r="T348" i="18"/>
  <c r="T347" i="18"/>
  <c r="T346" i="18"/>
  <c r="T345" i="18"/>
  <c r="T344" i="18"/>
  <c r="T343" i="18"/>
  <c r="T342" i="18"/>
  <c r="T341" i="18"/>
  <c r="T340" i="18"/>
  <c r="T339" i="18"/>
  <c r="T338" i="18"/>
  <c r="T337" i="18"/>
  <c r="N337" i="18"/>
  <c r="T336" i="18"/>
  <c r="T335" i="18"/>
  <c r="T334" i="18"/>
  <c r="P334" i="18"/>
  <c r="N334" i="18"/>
  <c r="T333" i="18"/>
  <c r="T332" i="18"/>
  <c r="T331" i="18"/>
  <c r="N330" i="18"/>
  <c r="T329" i="18"/>
  <c r="L422" i="18" l="1"/>
  <c r="L237" i="18"/>
  <c r="L198" i="18"/>
  <c r="L110" i="18"/>
  <c r="L9" i="18"/>
  <c r="L28" i="18"/>
  <c r="L47" i="18"/>
  <c r="L328" i="18"/>
  <c r="L353" i="18"/>
  <c r="L359" i="18"/>
  <c r="L363" i="18"/>
  <c r="L368" i="18"/>
  <c r="L426" i="18"/>
  <c r="L291" i="18" l="1"/>
  <c r="L190" i="18"/>
  <c r="L427" i="18" l="1"/>
  <c r="AB190" i="18" l="1"/>
  <c r="AC190" i="18"/>
  <c r="AB291" i="18"/>
  <c r="AC291" i="18"/>
  <c r="AB328" i="18"/>
  <c r="AC328" i="18"/>
  <c r="AB359" i="18"/>
  <c r="AC359" i="18"/>
  <c r="AB363" i="18"/>
  <c r="AC363" i="18"/>
  <c r="AB368" i="18"/>
  <c r="AC368" i="18"/>
  <c r="AB422" i="18"/>
  <c r="AC422" i="18"/>
  <c r="AB426" i="18"/>
  <c r="AC426" i="18"/>
  <c r="AB47" i="18"/>
  <c r="AB28" i="18"/>
  <c r="AB9" i="18"/>
  <c r="AB427" i="18" l="1"/>
  <c r="J9" i="18" l="1"/>
  <c r="J28" i="18"/>
  <c r="J47" i="18"/>
  <c r="J190" i="18"/>
  <c r="J291" i="18"/>
  <c r="J328" i="18"/>
  <c r="J353" i="18"/>
  <c r="J359" i="18"/>
  <c r="J363" i="18"/>
  <c r="J368" i="18"/>
  <c r="J422" i="18"/>
  <c r="J426" i="18"/>
  <c r="J427" i="18" l="1"/>
  <c r="N190" i="18" l="1"/>
  <c r="O190" i="18"/>
  <c r="N9" i="18" l="1"/>
  <c r="N47" i="18" l="1"/>
  <c r="N28" i="18" l="1"/>
  <c r="N422" i="18" l="1"/>
  <c r="N363" i="18" l="1"/>
  <c r="N426" i="18"/>
  <c r="U9" i="18" l="1"/>
  <c r="V9" i="18"/>
  <c r="W9" i="18"/>
  <c r="X9" i="18"/>
  <c r="U28" i="18"/>
  <c r="V28" i="18"/>
  <c r="W28" i="18"/>
  <c r="X28" i="18"/>
  <c r="U47" i="18"/>
  <c r="V47" i="18"/>
  <c r="W47" i="18"/>
  <c r="X47" i="18"/>
  <c r="U190" i="18"/>
  <c r="V190" i="18"/>
  <c r="W190" i="18"/>
  <c r="X190" i="18"/>
  <c r="Y190" i="18"/>
  <c r="U291" i="18"/>
  <c r="V291" i="18"/>
  <c r="W291" i="18"/>
  <c r="X291" i="18"/>
  <c r="U328" i="18"/>
  <c r="V328" i="18"/>
  <c r="W328" i="18"/>
  <c r="X328" i="18"/>
  <c r="Y328" i="18"/>
  <c r="U353" i="18"/>
  <c r="V353" i="18"/>
  <c r="W353" i="18"/>
  <c r="X353" i="18"/>
  <c r="Y353" i="18"/>
  <c r="U359" i="18"/>
  <c r="V359" i="18"/>
  <c r="W359" i="18"/>
  <c r="X359" i="18"/>
  <c r="Y359" i="18"/>
  <c r="U363" i="18"/>
  <c r="V363" i="18"/>
  <c r="W363" i="18"/>
  <c r="X363" i="18"/>
  <c r="Y363" i="18"/>
  <c r="U368" i="18"/>
  <c r="V368" i="18"/>
  <c r="W368" i="18"/>
  <c r="X368" i="18"/>
  <c r="Y368" i="18"/>
  <c r="U422" i="18"/>
  <c r="V422" i="18"/>
  <c r="W422" i="18"/>
  <c r="X422" i="18"/>
  <c r="Y422" i="18"/>
  <c r="U426" i="18"/>
  <c r="V426" i="18"/>
  <c r="W426" i="18"/>
  <c r="X426" i="18"/>
  <c r="Y426" i="18"/>
  <c r="W427" i="18" l="1"/>
  <c r="X427" i="18"/>
  <c r="U427" i="18"/>
  <c r="V427" i="18"/>
  <c r="S426" i="18" l="1"/>
  <c r="Z426" i="18"/>
  <c r="S422" i="18"/>
  <c r="Z422" i="18"/>
  <c r="AA422" i="18"/>
  <c r="S368" i="18"/>
  <c r="Z368" i="18"/>
  <c r="S363" i="18"/>
  <c r="Z363" i="18"/>
  <c r="S359" i="18"/>
  <c r="Z359" i="18"/>
  <c r="AA359" i="18"/>
  <c r="S353" i="18"/>
  <c r="Z353" i="18"/>
  <c r="AA353" i="18"/>
  <c r="S328" i="18"/>
  <c r="Z328" i="18"/>
  <c r="AA328" i="18"/>
  <c r="S291" i="18"/>
  <c r="Z291" i="18"/>
  <c r="AA291" i="18"/>
  <c r="S190" i="18"/>
  <c r="Z190" i="18"/>
  <c r="S47" i="18"/>
  <c r="Z47" i="18"/>
  <c r="S28" i="18"/>
  <c r="Y28" i="18"/>
  <c r="S9" i="18"/>
  <c r="Y9" i="18"/>
  <c r="S427" i="18" l="1"/>
  <c r="N368" i="18" l="1"/>
  <c r="N359" i="18"/>
  <c r="N291" i="18" l="1"/>
  <c r="N353" i="18"/>
  <c r="N328" i="18"/>
  <c r="T422" i="18"/>
  <c r="T47" i="18"/>
  <c r="T359" i="18"/>
  <c r="T9" i="18"/>
  <c r="T363" i="18"/>
  <c r="T426" i="18"/>
  <c r="T353" i="18"/>
  <c r="T368" i="18"/>
  <c r="T328" i="18"/>
  <c r="T291" i="18"/>
  <c r="T190" i="18"/>
  <c r="T28" i="18"/>
  <c r="T427" i="18" l="1"/>
  <c r="H453" i="18" s="1"/>
  <c r="I426" i="18" l="1"/>
  <c r="H426" i="18"/>
  <c r="I422" i="18"/>
  <c r="H422" i="18"/>
  <c r="I368" i="18"/>
  <c r="H368" i="18"/>
  <c r="I363" i="18"/>
  <c r="H363" i="18"/>
  <c r="I359" i="18"/>
  <c r="H359" i="18"/>
  <c r="I353" i="18"/>
  <c r="H353" i="18"/>
  <c r="I328" i="18"/>
  <c r="H328" i="18"/>
  <c r="I291" i="18"/>
  <c r="I190" i="18"/>
  <c r="I47" i="18"/>
  <c r="I28" i="18"/>
  <c r="I9" i="18"/>
  <c r="H9" i="18"/>
  <c r="H291" i="18" l="1"/>
  <c r="H28" i="18"/>
  <c r="H47" i="18"/>
  <c r="H190" i="18"/>
  <c r="I427" i="18"/>
  <c r="H427" i="18" l="1"/>
  <c r="N427" i="18" l="1"/>
  <c r="O426" i="18" l="1"/>
  <c r="P426" i="18"/>
  <c r="Q426" i="18"/>
  <c r="AA426" i="18"/>
  <c r="O422" i="18"/>
  <c r="P422" i="18"/>
  <c r="Q422" i="18"/>
  <c r="O368" i="18"/>
  <c r="P368" i="18"/>
  <c r="Q368" i="18"/>
  <c r="AA368" i="18"/>
  <c r="O363" i="18"/>
  <c r="P363" i="18"/>
  <c r="Q363" i="18"/>
  <c r="AA363" i="18"/>
  <c r="O359" i="18"/>
  <c r="P359" i="18"/>
  <c r="Q359" i="18"/>
  <c r="O353" i="18"/>
  <c r="P353" i="18"/>
  <c r="Q353" i="18"/>
  <c r="AC353" i="18"/>
  <c r="O328" i="18"/>
  <c r="Q328" i="18"/>
  <c r="O291" i="18"/>
  <c r="Q291" i="18"/>
  <c r="Q190" i="18"/>
  <c r="AA190" i="18"/>
  <c r="Q47" i="18"/>
  <c r="AA47" i="18"/>
  <c r="AC47" i="18"/>
  <c r="P28" i="18"/>
  <c r="Q28" i="18"/>
  <c r="Z28" i="18"/>
  <c r="AA28" i="18"/>
  <c r="AC28" i="18"/>
  <c r="AC9" i="18"/>
  <c r="AA9" i="18"/>
  <c r="Z9" i="18"/>
  <c r="P9" i="18"/>
  <c r="O9" i="18"/>
  <c r="AC427" i="18" l="1"/>
  <c r="Z427" i="18"/>
  <c r="P291" i="18" l="1"/>
  <c r="Y291" i="18" l="1"/>
  <c r="Q9" i="18" l="1"/>
  <c r="Q427" i="18" l="1"/>
  <c r="O28" i="18"/>
  <c r="P328" i="18" l="1"/>
  <c r="O47" i="18" l="1"/>
  <c r="P47" i="18"/>
  <c r="O427" i="18" l="1"/>
  <c r="Y47" i="18"/>
  <c r="Y427" i="18" l="1"/>
  <c r="AA427" i="18" l="1"/>
  <c r="P190" i="18" l="1"/>
  <c r="P427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5" authorId="0" shapeId="0" xr:uid="{B0874038-8ABB-4117-B6CB-7EC4E33111EE}">
      <text>
        <r>
          <rPr>
            <b/>
            <sz val="9"/>
            <color indexed="81"/>
            <rFont val="Tahoma"/>
            <family val="2"/>
            <charset val="238"/>
          </rPr>
          <t xml:space="preserve">2920, 3834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1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<sst xmlns="http://schemas.openxmlformats.org/spreadsheetml/2006/main" count="5023" uniqueCount="1503">
  <si>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</si>
  <si>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</si>
  <si>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</si>
  <si>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</si>
  <si>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</si>
  <si>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</si>
  <si>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</si>
  <si>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</si>
  <si>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</si>
  <si>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</si>
  <si>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</si>
  <si>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</si>
  <si>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</si>
  <si>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</si>
  <si>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</si>
  <si>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</si>
  <si>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</si>
  <si>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</si>
  <si>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</si>
  <si>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</si>
  <si>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2/2019/OŘÚ</t>
  </si>
  <si>
    <t>0001513</t>
  </si>
  <si>
    <t>Pořízení nových  kopírovacích strojů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</si>
  <si>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</si>
  <si>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</si>
  <si>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</si>
  <si>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</si>
  <si>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</si>
  <si>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</si>
  <si>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</si>
  <si>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</si>
  <si>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</si>
  <si>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</si>
  <si>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</si>
  <si>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</si>
  <si>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</si>
  <si>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</si>
  <si>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</si>
  <si>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</si>
  <si>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</si>
  <si>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</si>
  <si>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</si>
  <si>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</si>
  <si>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</si>
  <si>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</si>
  <si>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</si>
  <si>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</si>
  <si>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</si>
  <si>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</si>
  <si>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</si>
  <si>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</si>
  <si>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Nákup a obnova výpočetní techniky</t>
  </si>
  <si>
    <t>Modernizace počítačové učebny a zasedací místnosti Rady SčK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</si>
  <si>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</si>
  <si>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</si>
  <si>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</si>
  <si>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</si>
  <si>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</si>
  <si>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</si>
  <si>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</si>
  <si>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</si>
  <si>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</si>
  <si>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KSÚS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</si>
  <si>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</si>
  <si>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</si>
  <si>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</si>
  <si>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</si>
  <si>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</si>
  <si>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</si>
  <si>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</si>
  <si>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13/2019/DOP</t>
  </si>
  <si>
    <t>II/610 Chudoplesy, dopravně bezpečnostní opatření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</si>
  <si>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</si>
  <si>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</si>
  <si>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</si>
  <si>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</si>
  <si>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</si>
  <si>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</si>
  <si>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045-24/2018/RK ze dne 6.8.2018
041-15/2018/ZK ze dne 27.8.2018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</si>
  <si>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</si>
  <si>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</si>
  <si>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</si>
  <si>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</si>
  <si>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27/2019/DOP</t>
  </si>
  <si>
    <t>II/121 rekonstrukce opěrné zdi v Prčici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</si>
  <si>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</si>
  <si>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</si>
  <si>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</si>
  <si>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</si>
  <si>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</si>
  <si>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</si>
  <si>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</si>
  <si>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</si>
  <si>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44/2019/DOP</t>
  </si>
  <si>
    <t>III/11554 Hluboš - odvodnění</t>
  </si>
  <si>
    <t>45/2019/DOP</t>
  </si>
  <si>
    <t>II/125 Kamberk, svodidla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</si>
  <si>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</si>
  <si>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</si>
  <si>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</si>
  <si>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</si>
  <si>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</si>
  <si>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</si>
  <si>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</si>
  <si>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</si>
  <si>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</si>
  <si>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</si>
  <si>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</si>
  <si>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</si>
  <si>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</si>
  <si>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</si>
  <si>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</si>
  <si>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</si>
  <si>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</si>
  <si>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</si>
  <si>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</si>
  <si>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</si>
  <si>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0003847</t>
  </si>
  <si>
    <t>Gymnázium Dr. Josefa Pekaře Mladá Boleslav</t>
  </si>
  <si>
    <t>Rekonstrukce elektrických rozvodů a svítidel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</si>
  <si>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</si>
  <si>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</si>
  <si>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</si>
  <si>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</si>
  <si>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</si>
  <si>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Výměna oken včetně parapetů</t>
  </si>
  <si>
    <t>Střední škola designu a řemesel Kladno</t>
  </si>
  <si>
    <t>0004076</t>
  </si>
  <si>
    <t>PD a zateplení střechy budovy školy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</si>
  <si>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</si>
  <si>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</si>
  <si>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</si>
  <si>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0004055</t>
  </si>
  <si>
    <t>Základní škola a Praktická škola, Český Brod, Žitomířská 1359</t>
  </si>
  <si>
    <t>Zateplení střechy, oprava obložení stropu a stěn tělocvičny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</si>
  <si>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</si>
  <si>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</si>
  <si>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</si>
  <si>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REKO soc. zařízení DM včetně revitalizace krytu</t>
  </si>
  <si>
    <t>0004063</t>
  </si>
  <si>
    <t>Základní škola speciální, Mladá Boleslav, Václavkova 950</t>
  </si>
  <si>
    <t>Nový objekt základní školy speciální</t>
  </si>
  <si>
    <t>0004066</t>
  </si>
  <si>
    <t>Základní umělecká škola B. M. Černohorského, Nymburk, Palackého třída 574</t>
  </si>
  <si>
    <t>Stavební úpravy v podkroví budovy ZUŠ Nymburk</t>
  </si>
  <si>
    <t>0004797</t>
  </si>
  <si>
    <t>Vyšší odborná škola a Střední zemědělská škola, Benešov, Mendelova 131</t>
  </si>
  <si>
    <t>Pořízení nové kotelny</t>
  </si>
  <si>
    <t>0004773</t>
  </si>
  <si>
    <t xml:space="preserve">Základní škola, Mateřská škola speciální a Praktická škola, Jesenice, Plzeňská 63 </t>
  </si>
  <si>
    <t>Výtah - internát</t>
  </si>
  <si>
    <t>Střední lesnická škola a Střední odborné učiliště, Křivoklát, Písky 181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</si>
  <si>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</si>
  <si>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</si>
  <si>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</si>
  <si>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</si>
  <si>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</si>
  <si>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Rekonstrukce DD a ŠJ</t>
  </si>
  <si>
    <t>0004937</t>
  </si>
  <si>
    <t>Základní umělecká škola Josefa Slavíka, Hořovice, Palackého náměstí 253</t>
  </si>
  <si>
    <t>Výstavba a rekonstrukce sociálního zařízení v budově ZUŠ</t>
  </si>
  <si>
    <t>0004961</t>
  </si>
  <si>
    <t>Gymnázium Františka Palackého, Neratovice, Masarykova 450</t>
  </si>
  <si>
    <t>PD - půdní vestavba a nástavba</t>
  </si>
  <si>
    <t>0004962</t>
  </si>
  <si>
    <t>Střední škola oděvního a grafického designu, Lysá nad Labem, Stržiště 475</t>
  </si>
  <si>
    <t>Sociální zařízení v budově školy (č.p. 475)</t>
  </si>
  <si>
    <t>Střední odborné učiliště, Sedlčany, Petra Bezruče 364</t>
  </si>
  <si>
    <t>Plynofikace budovy školy 1. etapa</t>
  </si>
  <si>
    <t>0004969</t>
  </si>
  <si>
    <t>Rekonstrukce školního zařízení</t>
  </si>
  <si>
    <t>058-19/2018/RK ze dne 4.6.2018       035-14/2018/ZK ze dne 25.6.2018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</si>
  <si>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</si>
  <si>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</si>
  <si>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</si>
  <si>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</si>
  <si>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</si>
  <si>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</si>
  <si>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Střední průmyslová škola, Vlašim, Komenského 41 </t>
  </si>
  <si>
    <t xml:space="preserve">Dům dětí a mládeže „Na Výstavišti“, Mladá Boleslav, Husova 201  </t>
  </si>
  <si>
    <t>Celková obnova chatek a klubovny v Bezdědicích</t>
  </si>
  <si>
    <t xml:space="preserve">Střední škola oděvního a grafického designu, Lysá nad Labem, Stržiště 475 </t>
  </si>
  <si>
    <t>Výtah na domově mládeže</t>
  </si>
  <si>
    <t xml:space="preserve">Střední zdravotnická škola a Vyšší odborná škola zdravotnická, Nymburk, Soudní 20 </t>
  </si>
  <si>
    <t xml:space="preserve">Půdní vestavba učeben </t>
  </si>
  <si>
    <t>Osobní výtah</t>
  </si>
  <si>
    <t>Dětský domov a Školní jídelna, Nové Strašecí, Okružní 647</t>
  </si>
  <si>
    <t>Střední průmyslová škola, Vlašim, Komenského 41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</si>
  <si>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</si>
  <si>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</si>
  <si>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</si>
  <si>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</si>
  <si>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</si>
  <si>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</si>
  <si>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Muzeum Mladoboleslavska</t>
  </si>
  <si>
    <t>Rabasova galerie Rakovník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</si>
  <si>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</si>
  <si>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</si>
  <si>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</si>
  <si>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</si>
  <si>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</si>
  <si>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</si>
  <si>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</si>
  <si>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</si>
  <si>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</si>
  <si>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</si>
  <si>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</si>
  <si>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</si>
  <si>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</si>
  <si>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</si>
  <si>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</si>
  <si>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</si>
  <si>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</si>
  <si>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</si>
  <si>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</si>
  <si>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</si>
  <si>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</si>
  <si>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</si>
  <si>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</si>
  <si>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</si>
  <si>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</si>
  <si>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</si>
  <si>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</si>
  <si>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</si>
  <si>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</si>
  <si>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Regionální muzeum v Jílovém u Prahy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</si>
  <si>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</si>
  <si>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</si>
  <si>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</si>
  <si>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</si>
  <si>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</si>
  <si>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</si>
  <si>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</si>
  <si>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</si>
  <si>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29/2019/KUL</t>
  </si>
  <si>
    <t>0005458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</si>
  <si>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</si>
  <si>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</si>
  <si>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</si>
  <si>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</si>
  <si>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</si>
  <si>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</si>
  <si>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</si>
  <si>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</si>
  <si>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</si>
  <si>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</si>
  <si>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</si>
  <si>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</si>
  <si>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</si>
  <si>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</si>
  <si>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</si>
  <si>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</si>
  <si>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</si>
  <si>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</si>
  <si>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</si>
  <si>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</si>
  <si>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</si>
  <si>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</si>
  <si>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</si>
  <si>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</si>
  <si>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</si>
  <si>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</si>
  <si>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</si>
  <si>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</si>
  <si>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</si>
  <si>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</si>
  <si>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</si>
  <si>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</si>
  <si>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</si>
  <si>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</si>
  <si>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10/2019/ZDR</t>
  </si>
  <si>
    <t>0002923</t>
  </si>
  <si>
    <t>Dětské centrum Strančice</t>
  </si>
  <si>
    <t>Rekonstrukce dětského centra Chocerady</t>
  </si>
  <si>
    <t>14/2019/ZDR</t>
  </si>
  <si>
    <t>0004306</t>
  </si>
  <si>
    <t>Obnova vozového parku sanitních vozidel</t>
  </si>
  <si>
    <t>20/2019/ZDR</t>
  </si>
  <si>
    <t>0004410</t>
  </si>
  <si>
    <t>Rekonstrukce pavilónu Patologie</t>
  </si>
  <si>
    <t>Nem. Rudolfa a Stefanie Benešov, a. s., nem. SČK</t>
  </si>
  <si>
    <t>26/2019/ZDR</t>
  </si>
  <si>
    <t>Obnova a modernizace zdravotnické technologie</t>
  </si>
  <si>
    <t>42/2019/ZDR</t>
  </si>
  <si>
    <t xml:space="preserve">Rekonstrukce interního pavilonu 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</si>
  <si>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</si>
  <si>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</si>
  <si>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</si>
  <si>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</si>
  <si>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</si>
  <si>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</si>
  <si>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</si>
  <si>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</si>
  <si>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</si>
  <si>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</si>
  <si>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RDK</t>
  </si>
  <si>
    <t>0004312</t>
  </si>
  <si>
    <t>Zajištění zabezpečenosti dodávky vody pro území Středočeského kraje v rámci Pražské metropolitní oblasti</t>
  </si>
  <si>
    <t>Domov Rožďalovice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</si>
  <si>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</si>
  <si>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</si>
  <si>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</si>
  <si>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</si>
  <si>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</si>
  <si>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</si>
  <si>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</si>
  <si>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</si>
  <si>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Domov seniorů Benešov</t>
  </si>
  <si>
    <t>12/2019/SOC</t>
  </si>
  <si>
    <t>0004634</t>
  </si>
  <si>
    <t xml:space="preserve">Rekonstrukce budovy č.2 </t>
  </si>
  <si>
    <t>Domov Hostomice - Zátor</t>
  </si>
  <si>
    <t>23/2019/SOC</t>
  </si>
  <si>
    <t>0004649</t>
  </si>
  <si>
    <t>ZSI Kladno</t>
  </si>
  <si>
    <t>38/2019/SOC</t>
  </si>
  <si>
    <t>Rekonstrukce střechy týdenního stacionáře vč. krovů</t>
  </si>
  <si>
    <t>Domov seniorů Dobříš</t>
  </si>
  <si>
    <t>Luxor Poděbrady</t>
  </si>
  <si>
    <t>45/2019/SOC</t>
  </si>
  <si>
    <t xml:space="preserve">Investiční příspěvek pro Domov seniorů Benešov na vybudování trafostanice </t>
  </si>
  <si>
    <t>46/2019/SOC</t>
  </si>
  <si>
    <t>Domov seniorů Uhlířské Janovice</t>
  </si>
  <si>
    <t>55/2019/SOC</t>
  </si>
  <si>
    <t>Nalžovický zámek</t>
  </si>
  <si>
    <t>Centrum Rožmitál pod Třemšínem</t>
  </si>
  <si>
    <t>Domov seniorů Nové Strašecí</t>
  </si>
  <si>
    <t>1/2019/OBŘ</t>
  </si>
  <si>
    <t>0004724</t>
  </si>
  <si>
    <t>Projekt zvyšování bezpečnosti KÚSK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</si>
  <si>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</si>
  <si>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</si>
  <si>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</si>
  <si>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</si>
  <si>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</si>
  <si>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</si>
  <si>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</si>
  <si>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</si>
  <si>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</si>
  <si>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Prostředky 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</si>
  <si>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</si>
  <si>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</si>
  <si>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</si>
  <si>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Výměna oken</t>
  </si>
  <si>
    <t>Domov Kladno - Švermov</t>
  </si>
  <si>
    <t>0005244</t>
  </si>
  <si>
    <t>0005246</t>
  </si>
  <si>
    <t>0005247</t>
  </si>
  <si>
    <t>0005248</t>
  </si>
  <si>
    <t>Gymnázium, Benešov, Husova 470</t>
  </si>
  <si>
    <t>Rekonstrukce laboratoře chemie</t>
  </si>
  <si>
    <t xml:space="preserve">Přívěs na přepravu 2 koní </t>
  </si>
  <si>
    <t>Kombajn</t>
  </si>
  <si>
    <t>Univerzální soustruh</t>
  </si>
  <si>
    <t>Univerzální frézka</t>
  </si>
  <si>
    <t xml:space="preserve">Elektrospotřebiče ŠJ </t>
  </si>
  <si>
    <t>Dodávkový automobil pro OV (7 míst + náklad)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</si>
  <si>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</si>
  <si>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</si>
  <si>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</si>
  <si>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</si>
  <si>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</si>
  <si>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Labyrint-středisko volného času, vzdělávání a služeb, Kladno, Arbesova 1187</t>
  </si>
  <si>
    <t>Montáž nového výtahu (bezbariérový přístup)</t>
  </si>
  <si>
    <t>Střední odborná škola a Střední odborné učiliště, Kladno, Dubská</t>
  </si>
  <si>
    <t>Rekonstrukce kuchyně a jídelny DM</t>
  </si>
  <si>
    <t>Sportovní gymnázium, Kladno, Plzeňská 3103</t>
  </si>
  <si>
    <t>Fasáda budovy včetně zateplení</t>
  </si>
  <si>
    <t>Rekonstrukce elektroinstalace budovy školy</t>
  </si>
  <si>
    <t>Střední odborná škola informatiky a spojů a Střední odborné učiliště, Kolín, Jaselská 826</t>
  </si>
  <si>
    <t>Rekonstrukce palubovky ve sportovní hale</t>
  </si>
  <si>
    <t>Střední škola obchodní, Kolín IV, Havlíčkova 42</t>
  </si>
  <si>
    <t>Rekonstrukce vytápění objektu tělocvičny</t>
  </si>
  <si>
    <t>Výměna tepelného zdroje</t>
  </si>
  <si>
    <t>Gymnázium a Střední odborná škola pedagogická, Čáslav, Masarykova 248</t>
  </si>
  <si>
    <t>Rekonstrukce a přístavba sociálního zařízení</t>
  </si>
  <si>
    <t>Zabezpečení ochrany školy</t>
  </si>
  <si>
    <t>Dvořákovo gymnázium a Střední odborná škola ekonomická, Kralupy nad Vltavou, Dvořákovo náměstí 800</t>
  </si>
  <si>
    <t>Rekonstrukce sportovního areálu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</si>
  <si>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</si>
  <si>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</si>
  <si>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</si>
  <si>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 xml:space="preserve">Přístavba budovy - čajovny </t>
  </si>
  <si>
    <t>Integrovaná střední škola technická, Mělník, K učilišti 2566</t>
  </si>
  <si>
    <t>Rekonstrukce DM</t>
  </si>
  <si>
    <t>Střední odborné učiliště, Liběchov, Boží Voda 230</t>
  </si>
  <si>
    <t xml:space="preserve">Střední odborné učiliště, Hubálov 17 </t>
  </si>
  <si>
    <t>Odborné učebny pro instalatéry</t>
  </si>
  <si>
    <t>Výměna oken v celé budově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</si>
  <si>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</si>
  <si>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</si>
  <si>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Střední zemědělská škola a Střední odborná škola Poděbrady, příspěvková organizace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</si>
  <si>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</si>
  <si>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</si>
  <si>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</si>
  <si>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Gymnázium J. S. Machara, Brandýs nad Labem - Stará Boleslav, Královická 668</t>
  </si>
  <si>
    <t>Rekonstrukce a modernizace chemického areálu školy</t>
  </si>
  <si>
    <t>Gymnázium a Střední odborná škola ekonomická, Sedlčany, Nádražní 90</t>
  </si>
  <si>
    <t xml:space="preserve">Zateplení budovy školy a střechy </t>
  </si>
  <si>
    <t>Vyšší odborná škola a Střední odborná škola, Březnice, Rožmitálská 340</t>
  </si>
  <si>
    <t>Rekonstrukce křídla DM včetně vybavení</t>
  </si>
  <si>
    <t>Odborné učiliště, Praktická škola, Základní škola a Mateřská škola Příbram IV, příspěvková organizace</t>
  </si>
  <si>
    <t>Výměna el. rozvodů - dílny</t>
  </si>
  <si>
    <t>PD - snížení energetické náročnosti budov teorie a tělocvičny</t>
  </si>
  <si>
    <t>Masarykova obchodní akademie, Rakovník, Pražská  1222</t>
  </si>
  <si>
    <t>Výměna plynových kotlů včetně doplňkové technologie</t>
  </si>
  <si>
    <t>Zateplení objektů</t>
  </si>
  <si>
    <t>Příprava a zabezpečení záchytných parkovišť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</si>
  <si>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</si>
  <si>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</si>
  <si>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</si>
  <si>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</si>
  <si>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</si>
  <si>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</si>
  <si>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>II/107 Kamenice</t>
  </si>
  <si>
    <t>III/3394 Petrovice, most ev.č. 3394-1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</si>
  <si>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</si>
  <si>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</si>
  <si>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</si>
  <si>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</si>
  <si>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</si>
  <si>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0005479</t>
  </si>
  <si>
    <t>0005471</t>
  </si>
  <si>
    <t>0004891</t>
  </si>
  <si>
    <t>0005474</t>
  </si>
  <si>
    <t>Elektronická požární signalizace a PBŘ nemovitostí</t>
  </si>
  <si>
    <t>Rekonstrukce terasy ve zvýšeném přízemí</t>
  </si>
  <si>
    <t>Rekonstrukce terasy 1. patro</t>
  </si>
  <si>
    <t>Náhradní zdroj - nákup agregátu</t>
  </si>
  <si>
    <t>Rekonstrukce rozvodů vody včetně koupelen v objektu Kláštera Rožďalovice</t>
  </si>
  <si>
    <t>Vybudování zimní zahrady</t>
  </si>
  <si>
    <t>Rekonstrukce kuchyně vč. vybavení a VZT</t>
  </si>
  <si>
    <t>Rekonstrukce signalizace sestra - pacient</t>
  </si>
  <si>
    <t>Pořízení výtahu a vybudování bezbarierového přístupu</t>
  </si>
  <si>
    <t>Vybudování komunikačního systému sestra-klient a EPS</t>
  </si>
  <si>
    <t>Domov Vraný</t>
  </si>
  <si>
    <t>Nákup osobního automobilu</t>
  </si>
  <si>
    <t>Rekonstrukce střechy Gen. Eliáše 483, Kladno</t>
  </si>
  <si>
    <t>Park generací</t>
  </si>
  <si>
    <t>Rekonstrukce vnitřní počítačové sítě (intranetu)</t>
  </si>
  <si>
    <t>9 místný automobil pro přepravu osob a nákladu</t>
  </si>
  <si>
    <t>88/2019/DOP</t>
  </si>
  <si>
    <t>89/2019/DOP</t>
  </si>
  <si>
    <t>91/2019/DOP</t>
  </si>
  <si>
    <t>92/2019/DOP</t>
  </si>
  <si>
    <t>93/2019/DOP</t>
  </si>
  <si>
    <t>94/2019/DOP</t>
  </si>
  <si>
    <t>96/2019/DOP</t>
  </si>
  <si>
    <t>97/2019/DOP</t>
  </si>
  <si>
    <t>99/2019/DOP</t>
  </si>
  <si>
    <t>100/2019/DOP</t>
  </si>
  <si>
    <t>102/2019/DOP</t>
  </si>
  <si>
    <t>103/2019/DOP</t>
  </si>
  <si>
    <t>104/2019/DOP</t>
  </si>
  <si>
    <t>105/2019/DOP</t>
  </si>
  <si>
    <t>6/2020</t>
  </si>
  <si>
    <t>0005483</t>
  </si>
  <si>
    <t>68/2019/SOC</t>
  </si>
  <si>
    <t>69/2019/SOC</t>
  </si>
  <si>
    <t>70/2019/SOC</t>
  </si>
  <si>
    <t>75/2019/SOC</t>
  </si>
  <si>
    <t>76/2019/SOC</t>
  </si>
  <si>
    <t>77/2019/SOC</t>
  </si>
  <si>
    <t>81/2019/SOC</t>
  </si>
  <si>
    <t>82/2019/SOC</t>
  </si>
  <si>
    <t>83/2019/SOC</t>
  </si>
  <si>
    <t>86/2019/SOC</t>
  </si>
  <si>
    <t>89/2019/SOC</t>
  </si>
  <si>
    <t>92/2019/SOC</t>
  </si>
  <si>
    <t>95/2019/SOC</t>
  </si>
  <si>
    <t>96/2019/SOC</t>
  </si>
  <si>
    <t>97/2019/SOC</t>
  </si>
  <si>
    <t>9/2020</t>
  </si>
  <si>
    <t>Neurčito</t>
  </si>
  <si>
    <t>0004979</t>
  </si>
  <si>
    <t>0005299</t>
  </si>
  <si>
    <t>67/2019/ZDR</t>
  </si>
  <si>
    <t>Komplexní rehabilitační centrum</t>
  </si>
  <si>
    <t>0004824</t>
  </si>
  <si>
    <t>0004825</t>
  </si>
  <si>
    <t>písmo škrtnuto + poznámka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</si>
  <si>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</si>
  <si>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</si>
  <si>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</si>
  <si>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</si>
  <si>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</si>
  <si>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</si>
  <si>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</si>
  <si>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</si>
  <si>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</si>
  <si>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0005442</t>
  </si>
  <si>
    <t>průběžně</t>
  </si>
  <si>
    <t>Startovací byty</t>
  </si>
  <si>
    <t>Rozvoj Rabasovy galerie Rakovník, stavební úpravy a dostavba</t>
  </si>
  <si>
    <t>*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</si>
  <si>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</si>
  <si>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</si>
  <si>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</si>
  <si>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</si>
  <si>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1/2019/INF</t>
  </si>
  <si>
    <t>3/2019/INF</t>
  </si>
  <si>
    <t>5/2019/INF</t>
  </si>
  <si>
    <t>018-34/2018/RK ze dne 5.11.2018 128-16/2018/ZK ze dne 24.11.2018</t>
  </si>
  <si>
    <t>6/2019/INF</t>
  </si>
  <si>
    <t>8/2019/INF</t>
  </si>
  <si>
    <t>9/2019/INF</t>
  </si>
  <si>
    <t>10/2019/INF</t>
  </si>
  <si>
    <t>0005549</t>
  </si>
  <si>
    <t>17/2019/INF</t>
  </si>
  <si>
    <t>0005553</t>
  </si>
  <si>
    <t>Rozšíření IS FaMA+ pro příspěvkové organizace kraje</t>
  </si>
  <si>
    <t>Průběžně</t>
  </si>
  <si>
    <t>097-15/2017/RK ze dne 27. 4.2017  040-23/2017/RK ze dne 15.6.2017   038-07/2017/ZK ze dne 27.6.2017</t>
  </si>
  <si>
    <t>NE</t>
  </si>
  <si>
    <t>ANO</t>
  </si>
  <si>
    <t>069-42/2017/RK ze dne 4.12.2017 015-12/2018/ZK ze dne 29.1.2018</t>
  </si>
  <si>
    <t>ZRUŠENO</t>
  </si>
  <si>
    <t>0005508</t>
  </si>
  <si>
    <t>106/2019/DOP</t>
  </si>
  <si>
    <t>Přenosné osobní pokladny</t>
  </si>
  <si>
    <t>Galerie Středočeského kraje, Kutná Hora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</si>
  <si>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</si>
  <si>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</si>
  <si>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</si>
  <si>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Výstavba nového centrálního muzejního depozitáře pro RM Kolín v Kouřimi</t>
  </si>
  <si>
    <t>0005560</t>
  </si>
  <si>
    <t>0005561</t>
  </si>
  <si>
    <t>0005562</t>
  </si>
  <si>
    <t>0005563</t>
  </si>
  <si>
    <t>2/2020</t>
  </si>
  <si>
    <t>0005564</t>
  </si>
  <si>
    <t>5/2020</t>
  </si>
  <si>
    <t>0005571</t>
  </si>
  <si>
    <t>50/2019/KUL</t>
  </si>
  <si>
    <t>Přípravné práce a převoz Thomasova konvertoru do skanzenu Mayrau</t>
  </si>
  <si>
    <t>UKONČENO</t>
  </si>
  <si>
    <t>100/2019/SOC</t>
  </si>
  <si>
    <t>Rekonstrukce střechy - Ledce bytový dům</t>
  </si>
  <si>
    <t>102/2019/SOC</t>
  </si>
  <si>
    <t>103/2019/SOC</t>
  </si>
  <si>
    <t>8/2020</t>
  </si>
  <si>
    <t>10/2020</t>
  </si>
  <si>
    <t>až budou finanční prostředky</t>
  </si>
  <si>
    <t>1/2020</t>
  </si>
  <si>
    <t>.</t>
  </si>
  <si>
    <t>018-34/2018/RK ze dne 5.11.2018 128-16/2018/ZK ze dne 26.11.2018</t>
  </si>
  <si>
    <t>0005485</t>
  </si>
  <si>
    <t>Základní škola, Vlašim, Březinská 1702</t>
  </si>
  <si>
    <t>Integrovaná střední škola technická Mělník, příspěvková organizace</t>
  </si>
  <si>
    <t>Víceúčelová sportovní hala</t>
  </si>
  <si>
    <t>Zřízení vodorovného dopravního značení, bezpečnostní prvky</t>
  </si>
  <si>
    <t xml:space="preserve"> v tis. Kč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</si>
  <si>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</si>
  <si>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</si>
  <si>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</si>
  <si>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</si>
  <si>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</si>
  <si>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</si>
  <si>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</si>
  <si>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</si>
  <si>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</si>
  <si>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</si>
  <si>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01 - Odbor Kancelář hejtmanky</t>
  </si>
  <si>
    <t>Kompletní rekonstrukce elektroinstalace v DS</t>
  </si>
  <si>
    <t>1/2019/OZP</t>
  </si>
  <si>
    <t>2/2019/OZP</t>
  </si>
  <si>
    <t xml:space="preserve">Pozastaveno radním. </t>
  </si>
  <si>
    <t>Předpoklad v roce 2022+</t>
  </si>
  <si>
    <t>022-14/2019/RK ze dne 15.4.2019  108-18/2019/ZK ze dne 29.4.2019</t>
  </si>
  <si>
    <t>4/2020</t>
  </si>
  <si>
    <t>107/2019/SOC</t>
  </si>
  <si>
    <t>Rekonstrukce podlah v celém objektu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</si>
  <si>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</si>
  <si>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</si>
  <si>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</si>
  <si>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</si>
  <si>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</si>
  <si>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</si>
  <si>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</si>
  <si>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</si>
  <si>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</si>
  <si>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</si>
  <si>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</si>
  <si>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</si>
  <si>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</si>
  <si>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</si>
  <si>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</si>
  <si>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</si>
  <si>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</si>
  <si>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</si>
  <si>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</si>
  <si>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Bellevue Ledce</t>
  </si>
  <si>
    <t>Domov Na Hrádku, Červený Hrádek</t>
  </si>
  <si>
    <t>Rybka Neratovice</t>
  </si>
  <si>
    <t>Domov Buda, Zásmuky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</si>
  <si>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</si>
  <si>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</si>
  <si>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</si>
  <si>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</si>
  <si>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</si>
  <si>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</si>
  <si>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</si>
  <si>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</si>
  <si>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</si>
  <si>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</si>
  <si>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0005640</t>
  </si>
  <si>
    <t>51/2019/KUL</t>
  </si>
  <si>
    <t>Výklenková kaplička se sousoším sv. Jana Nepomuckého z Tismic</t>
  </si>
  <si>
    <t>3/2020</t>
  </si>
  <si>
    <t>1/2021</t>
  </si>
  <si>
    <t>1/2022</t>
  </si>
  <si>
    <t>0003960</t>
  </si>
  <si>
    <t>hotová PD - škola si zaplatila z vlastních zdrojů</t>
  </si>
  <si>
    <t>0005622</t>
  </si>
  <si>
    <t>0005641</t>
  </si>
  <si>
    <t>5/2022</t>
  </si>
  <si>
    <t>3/2021</t>
  </si>
  <si>
    <t>044-36/2017/RK ze dne 12.10.2017  009-10/2017/ZK ze dne 24.10.2017</t>
  </si>
  <si>
    <t>040-23/2017/RK ze dne 15.6.2017   038-07/2017/ZK ze dne 27.6.2017</t>
  </si>
  <si>
    <t>051-39/2017/RK ze dne 13.11.2017 028-11/2017/ZK ze dne 5.12.2017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</si>
  <si>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</si>
  <si>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</si>
  <si>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</si>
  <si>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005-12/2010/RK ze dne 29.03.2010  065-10/2010/ZK ze dne 12.04.2010</t>
  </si>
  <si>
    <t>060-26/2017/RK ze dne 20.7.2017  044-36/2017/RK ze dne 12.10.2017  009-10/2017/ZK ze dne 24.10.2017</t>
  </si>
  <si>
    <t>007-09/2017/RK ze dne 9.3.2017  040-23/2017/RK ze dne 15.6.2017   038-07/2017/ZK ze dne 27.6.2017</t>
  </si>
  <si>
    <t>041-02/2018/RK ze dne 15.1.2018  015-12/2018/ZK ze dne 29.1.2018</t>
  </si>
  <si>
    <t>071-29/2016/RK ze dne 29.8.2016       012-24/2016/ZK ze dne 19.9.2016</t>
  </si>
  <si>
    <t>026-13/2016/RK ze dne 4.4.2016    012-22/2016/ZK ze dne 25.4.2016</t>
  </si>
  <si>
    <t>018-14/2017/RK ze dne 13.4.2017 028-06/2017/ZK ze dne 25.4.2017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</si>
  <si>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</si>
  <si>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</si>
  <si>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</si>
  <si>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</si>
  <si>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068-39/2015/RK ze dne 9.11.2015        006-20/2015/ZK ze dne 7.12.2015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</si>
  <si>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</si>
  <si>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</si>
  <si>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</si>
  <si>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číselné hodnoty finančních prostředků jsou ukládány s přesností na haléře, pro přehlednost jsou zobrazovány zaokrouhleně na celé tis. Kč.</t>
  </si>
  <si>
    <t>vlastní prostředky PO, a.s.</t>
  </si>
  <si>
    <t>prostředky rozpočtu SK kromě kap. 12</t>
  </si>
  <si>
    <t xml:space="preserve">016-06/2017/RK ze dne 16.2.2017   022-04/2017/ZK ze dne 7.3.2017     </t>
  </si>
  <si>
    <t>126/2019/SKOL</t>
  </si>
  <si>
    <t>1/2019/SKOL</t>
  </si>
  <si>
    <t>3/2019/SKOL</t>
  </si>
  <si>
    <t>4/2019/SKOL</t>
  </si>
  <si>
    <t>6/2019/SKOL</t>
  </si>
  <si>
    <t>7/2019/SKOL</t>
  </si>
  <si>
    <t>8/2019/SKOL</t>
  </si>
  <si>
    <t>11/2019/SKOL</t>
  </si>
  <si>
    <t>12/2019/SKOL</t>
  </si>
  <si>
    <t>14/2019/SKOL</t>
  </si>
  <si>
    <t>17/2019/SKOL</t>
  </si>
  <si>
    <t>18/2019/SKOL</t>
  </si>
  <si>
    <t>20/2019/SKOL</t>
  </si>
  <si>
    <t>23/2019/SKOL</t>
  </si>
  <si>
    <t>26/2019/SKOL</t>
  </si>
  <si>
    <t>31/2019/SKOL</t>
  </si>
  <si>
    <t>33/2019/SKOL</t>
  </si>
  <si>
    <t>34/2019/SKOL</t>
  </si>
  <si>
    <t>38/2019/SKOL</t>
  </si>
  <si>
    <t>39/2019/SKOL</t>
  </si>
  <si>
    <t>41/2019/SKOL</t>
  </si>
  <si>
    <t>42/2019/SKOL</t>
  </si>
  <si>
    <t>45/2019/SKOL</t>
  </si>
  <si>
    <t>53/2019/SKOL</t>
  </si>
  <si>
    <t>55/2019/SKOL</t>
  </si>
  <si>
    <t>56/2019/SKOL</t>
  </si>
  <si>
    <t>57/2019/SKOL</t>
  </si>
  <si>
    <t>66/2019/SKOL</t>
  </si>
  <si>
    <t>67/2019/SKOL</t>
  </si>
  <si>
    <t>68/2019/SKOL</t>
  </si>
  <si>
    <t>69/2019/SKOL</t>
  </si>
  <si>
    <t>71/2019/SKOL</t>
  </si>
  <si>
    <t>72/2019/SKOL</t>
  </si>
  <si>
    <t>73/2019/SKOL</t>
  </si>
  <si>
    <t>77/2019/SKOL</t>
  </si>
  <si>
    <t>78/2019/SKOL</t>
  </si>
  <si>
    <t>79/2019/SKOL</t>
  </si>
  <si>
    <t>80/2019/SKOL</t>
  </si>
  <si>
    <t>83/2019/SKOL</t>
  </si>
  <si>
    <t>84/2019/SKOL</t>
  </si>
  <si>
    <t>86/2019/SKOL</t>
  </si>
  <si>
    <t>87/2019/SKOL</t>
  </si>
  <si>
    <t>88/2019/SKOL</t>
  </si>
  <si>
    <t>91/2019/SKOL</t>
  </si>
  <si>
    <t>92/2019/SKOL</t>
  </si>
  <si>
    <t>93/2019/SKOL</t>
  </si>
  <si>
    <t>94/2019/SKOL</t>
  </si>
  <si>
    <t>96/2019/SKOL</t>
  </si>
  <si>
    <t>98/2019/SKOL</t>
  </si>
  <si>
    <t>99/2019/SKOL</t>
  </si>
  <si>
    <t>100/2019/SKOL</t>
  </si>
  <si>
    <t>103/2019/SKOL</t>
  </si>
  <si>
    <t>104/2019/SKOL</t>
  </si>
  <si>
    <t>105/2019/SKOL</t>
  </si>
  <si>
    <t>107/2019/SKOL</t>
  </si>
  <si>
    <t>108/2019/SKOL</t>
  </si>
  <si>
    <t>110/2019/SKOL</t>
  </si>
  <si>
    <t>112/2019/SKOL</t>
  </si>
  <si>
    <t>114/2019/SKOL</t>
  </si>
  <si>
    <t>115/2019/SKOL</t>
  </si>
  <si>
    <t>116/2019/SKOL</t>
  </si>
  <si>
    <t>119/2019/SKOL</t>
  </si>
  <si>
    <t>120/2019/SKOL</t>
  </si>
  <si>
    <t>121/2019/SKOL</t>
  </si>
  <si>
    <t>122/2019/SKOL</t>
  </si>
  <si>
    <t>123/2019/SKOL</t>
  </si>
  <si>
    <t>124/2019/SKOL</t>
  </si>
  <si>
    <t>0005653</t>
  </si>
  <si>
    <t xml:space="preserve"> Jiné zdroje=PzP z kap. 05    smlouva na PD</t>
  </si>
  <si>
    <t>127/2019/SKOL</t>
  </si>
  <si>
    <t>Gymnázium Dr. Josefa Pekaře, Mladá Boleslav, Palackého 211</t>
  </si>
  <si>
    <t>Dokončení sanace suterénu</t>
  </si>
  <si>
    <t>129/2019/SKOL</t>
  </si>
  <si>
    <t>Základní škola a Praktická škola Jesenice, příspěvková organizace</t>
  </si>
  <si>
    <t>Svozový automobil</t>
  </si>
  <si>
    <t>130/2019/SKOL</t>
  </si>
  <si>
    <t>Integrovaná střední škola Rakovník, příspěvková organizace</t>
  </si>
  <si>
    <t>Koupě pozemku</t>
  </si>
  <si>
    <t>Vyšší odborná škola, Střední průmyslová škola a Obchodní akademie, Čáslav, Přemysla Otakara II. 938</t>
  </si>
  <si>
    <t>Rekonstrukce vzduchotechniky - kuchyň</t>
  </si>
  <si>
    <t>025-19/2019/RK ze dne 3.6.2019  095-19/2019/ZK ze dne 24.6.2019</t>
  </si>
  <si>
    <t>Vybudování výtahu budova č. 1 a č. 2</t>
  </si>
  <si>
    <t>0005541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</si>
  <si>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</si>
  <si>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</si>
  <si>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</si>
  <si>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</si>
  <si>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</si>
  <si>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</si>
  <si>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>Rekonstrukce objektu konírny</t>
  </si>
  <si>
    <t>11/2020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</si>
  <si>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</si>
  <si>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</si>
  <si>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</si>
  <si>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</si>
  <si>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OK silnic III/10114 a III/0315</t>
  </si>
  <si>
    <t>Pyšely - III/0311 a III/0312, rekonstrukce silnic</t>
  </si>
  <si>
    <t xml:space="preserve">Benešov, dopravní opatření </t>
  </si>
  <si>
    <t>Most ev.č.33355-1 přes Hořanský potok v obci Libenice</t>
  </si>
  <si>
    <t>113-013 Most přes strouhu v obci Třemošnice</t>
  </si>
  <si>
    <t>23933-4 Hobšovice</t>
  </si>
  <si>
    <t>Most III/25915 Bezděz, rekonstrukce mostu 25915-1</t>
  </si>
  <si>
    <t>III/3272 Hlízov</t>
  </si>
  <si>
    <t>III/3287 Velký Osek</t>
  </si>
  <si>
    <t>III/3275 Starý Kolín</t>
  </si>
  <si>
    <t>III/33012 Písty</t>
  </si>
  <si>
    <t>III/1256 Vlašim - Veliš</t>
  </si>
  <si>
    <t>59/2019/KUL</t>
  </si>
  <si>
    <t>Nákup pódia</t>
  </si>
  <si>
    <t>133/2019/SKOL</t>
  </si>
  <si>
    <t>109/2019/DOP</t>
  </si>
  <si>
    <t>112/2019/DOP</t>
  </si>
  <si>
    <t>113/2019/DOP</t>
  </si>
  <si>
    <t>114/2019/DOP</t>
  </si>
  <si>
    <t>115/2019/DOP</t>
  </si>
  <si>
    <t>116/2019/DOP</t>
  </si>
  <si>
    <t>117/2019/DOP</t>
  </si>
  <si>
    <t>118/2019/DOP</t>
  </si>
  <si>
    <t>119/2019/DOP</t>
  </si>
  <si>
    <t>120/2019/DOP</t>
  </si>
  <si>
    <t>121/2019/DOP</t>
  </si>
  <si>
    <t>122/2019/DOP</t>
  </si>
  <si>
    <t>123/2019/DOP</t>
  </si>
  <si>
    <t>124/2019/DOP</t>
  </si>
  <si>
    <t>125/2019/DOP</t>
  </si>
  <si>
    <t>126/2019/DOP</t>
  </si>
  <si>
    <t>127/2019/DOP</t>
  </si>
  <si>
    <t>1.Q          (1.1.-31.3.)</t>
  </si>
  <si>
    <t>2.Q         (1.4.-30.6.)</t>
  </si>
  <si>
    <t>11/2019/OŘÚ</t>
  </si>
  <si>
    <t>12/2019/OŘÚ</t>
  </si>
  <si>
    <t>128/2019/DOP</t>
  </si>
  <si>
    <t>III/1057 komunikace na hrázi Dunávického rybníka</t>
  </si>
  <si>
    <t>129/2019/DOP</t>
  </si>
  <si>
    <t>Letiště Benešov – zpevnění RWY a SZZ</t>
  </si>
  <si>
    <t>130/2019/DOP</t>
  </si>
  <si>
    <t>146/2019/DOP</t>
  </si>
  <si>
    <t xml:space="preserve">III/1917 Nesvačily - Strýčkovy </t>
  </si>
  <si>
    <t>147/2019/DOP</t>
  </si>
  <si>
    <t>148/2019/DOP</t>
  </si>
  <si>
    <t>III/12511 Vlašim</t>
  </si>
  <si>
    <t>149/2019/DOP</t>
  </si>
  <si>
    <t>Propustek Černé Voděrady III/11320 km 5,520</t>
  </si>
  <si>
    <t>150/2019/DOP</t>
  </si>
  <si>
    <t>II/244 Měšice, rekonstrukce mostu ev.č. 244-001, demolice mostu</t>
  </si>
  <si>
    <t>151/2019/DOP</t>
  </si>
  <si>
    <t>Propustky Hradec III/1083 km 1,900, km 1,800 a km 3,200</t>
  </si>
  <si>
    <t>152/2019/DOP</t>
  </si>
  <si>
    <t xml:space="preserve">Most ev.č 245-008 přes suchou strouhu v obci Mochov, most ev.č. 279-017 přes potok před obcí Skyšice </t>
  </si>
  <si>
    <t>153/2019/DOP</t>
  </si>
  <si>
    <t>Propustek Červené Janovice III/0172 km 0,715</t>
  </si>
  <si>
    <t>154/2019/DOP</t>
  </si>
  <si>
    <t>III/12537 Červený Hrádek, most ev.č. 12537-1</t>
  </si>
  <si>
    <t>155/2019/DOP</t>
  </si>
  <si>
    <t>156/2019/DOP</t>
  </si>
  <si>
    <t xml:space="preserve">II/611, most ev.č.611-005 přes potok Výmola za obcí Mochov </t>
  </si>
  <si>
    <t>157/2019/DOP</t>
  </si>
  <si>
    <t>Propustek Bělušice III/3279 km 5,321, Propustek Sokoleč III/3297 km 3,000</t>
  </si>
  <si>
    <t>158/2019/DOP</t>
  </si>
  <si>
    <t>159/2019/DOP</t>
  </si>
  <si>
    <t>II/268 Klášter Hradiště n. Jiz., most ev.č. 268-007</t>
  </si>
  <si>
    <t>160/2019/DOP</t>
  </si>
  <si>
    <t>II/244 Kostelec nad Labem, most ev.č. 244-007 přes Labe za Kostelcem nad Labem</t>
  </si>
  <si>
    <t>161/2019/DOP</t>
  </si>
  <si>
    <t>II/114, most ev. č. 114 - 011 přes potok za obcí Radouš</t>
  </si>
  <si>
    <t>162/2019/DOP</t>
  </si>
  <si>
    <t>III/24032 Budihostice, most ev.č.24032-2 přes Vranský potok</t>
  </si>
  <si>
    <t>163/2019/DOP</t>
  </si>
  <si>
    <t>II/114, most ev. č. 114 - 013 přes potok za obcí Bezdětice</t>
  </si>
  <si>
    <t>165/2019/DOP</t>
  </si>
  <si>
    <t>Most ev.č. 11320-4 Penčice</t>
  </si>
  <si>
    <t>166/2019/DOP</t>
  </si>
  <si>
    <t>III/11626, most ev. č. ZY 11626 - 1 osazení Mostního provizoria Mníšek Pod Brdy</t>
  </si>
  <si>
    <t>169/2019/DOP</t>
  </si>
  <si>
    <t xml:space="preserve">III/12556 Dobešovice, most ev.č. 12556-2 </t>
  </si>
  <si>
    <t>170/2019/DOP</t>
  </si>
  <si>
    <t>II/118 Železná</t>
  </si>
  <si>
    <t>179/2019/DOP</t>
  </si>
  <si>
    <t>III/26817, III/26819 Jivina</t>
  </si>
  <si>
    <t>182/2019/DOP</t>
  </si>
  <si>
    <t>III/33313, III/0126a, III/01211, III/10173, III/0128, III/0127 Šibřina, Stupice</t>
  </si>
  <si>
    <t>185/2019/DOP</t>
  </si>
  <si>
    <t>II/508, III/11319 Mnichovice, Myšlín</t>
  </si>
  <si>
    <t>193/2019/DOP</t>
  </si>
  <si>
    <t>III/11417 Občov</t>
  </si>
  <si>
    <t>194/2019/DOP</t>
  </si>
  <si>
    <t>196/2019/DOP</t>
  </si>
  <si>
    <t>Dopravní opatření na křižovatce II/114 a III/11628 v Dobříši</t>
  </si>
  <si>
    <t>199/2019/DOP</t>
  </si>
  <si>
    <t>III/22916,III/22917a III/22917n Krupá</t>
  </si>
  <si>
    <t>200/2019/DOP</t>
  </si>
  <si>
    <t>III/22940 Pochvalov</t>
  </si>
  <si>
    <t>201/2019/DOP</t>
  </si>
  <si>
    <t>III/11517,III/11519 Zadní Třebáň</t>
  </si>
  <si>
    <t>12/2021</t>
  </si>
  <si>
    <t>18/2019/INF</t>
  </si>
  <si>
    <t>Nákup výpočetní techniky pro nové zastupitele</t>
  </si>
  <si>
    <t>19/2019/INF</t>
  </si>
  <si>
    <t>Nový intranet krajského úřadu</t>
  </si>
  <si>
    <t>0005865</t>
  </si>
  <si>
    <t>0005866</t>
  </si>
  <si>
    <t>0005868</t>
  </si>
  <si>
    <t>0005876</t>
  </si>
  <si>
    <t>0005872</t>
  </si>
  <si>
    <t>63/2019/KUL</t>
  </si>
  <si>
    <t>65/2019/KUL</t>
  </si>
  <si>
    <t>Hornicko-hutnická expozice</t>
  </si>
  <si>
    <t>Rekonstrukce evakuačních výtahů</t>
  </si>
  <si>
    <t>Nákup polohovacích lůžek a aktivních matrací do příspěvkových organizací</t>
  </si>
  <si>
    <t>Rekonstrukce pláště střechy zámku</t>
  </si>
  <si>
    <t>Zpracování projektové dokumentace na akci „Rozšíření vodárenské soustavy v koridoru dálnice D3"</t>
  </si>
  <si>
    <t>0005824</t>
  </si>
  <si>
    <t>135/2019/SKOL</t>
  </si>
  <si>
    <t>Zateplení budovy Velíšská 116</t>
  </si>
  <si>
    <t>138/2019/SKOL</t>
  </si>
  <si>
    <t>Dům dětí a mládeže Beroun, U Stadionu 787 (Svatojánská 217)</t>
  </si>
  <si>
    <t>Odvlhčení objektu DDM Beroun</t>
  </si>
  <si>
    <t xml:space="preserve">Stavební úprava mostů na CMS Králův Dvůr oblast Kladno </t>
  </si>
  <si>
    <t>137/2019/ZDR</t>
  </si>
  <si>
    <t>snížení CN o 25 tis. Kč</t>
  </si>
  <si>
    <t>3/2019/KHT</t>
  </si>
  <si>
    <t>0005845</t>
  </si>
  <si>
    <t>13/2019/OŘÚ</t>
  </si>
  <si>
    <t>Pořízení osobního vozidla vyšší střední třídy</t>
  </si>
  <si>
    <t>Rekonstrukce sociálních zařízení v budově KÚ</t>
  </si>
  <si>
    <t>Pořízení frankovacího stroje</t>
  </si>
  <si>
    <t>Časový horizont změny aktuálního stavu (měsíc /rok)</t>
  </si>
  <si>
    <t>3.Q         (1.7.-30.9.)</t>
  </si>
  <si>
    <t>4.Q         (1.10.-31.12.)</t>
  </si>
  <si>
    <t>0005761</t>
  </si>
  <si>
    <t>v ZI od roku</t>
  </si>
  <si>
    <t>Zařazeno do Zásobníku investic usnesením RK/ZK</t>
  </si>
  <si>
    <t>0005850</t>
  </si>
  <si>
    <t>0005853</t>
  </si>
  <si>
    <t>0004491</t>
  </si>
  <si>
    <t>0005859</t>
  </si>
  <si>
    <t>0005780</t>
  </si>
  <si>
    <t>0003227</t>
  </si>
  <si>
    <t>Kapitálové prostředky v Zásobníku investic 2020</t>
  </si>
  <si>
    <t>10/2025</t>
  </si>
  <si>
    <t>20/2020/INF</t>
  </si>
  <si>
    <t>Redundace LAN infrastruktury</t>
  </si>
  <si>
    <t>21/2020/INF</t>
  </si>
  <si>
    <t>Rozšíření systému zálohování prostřednictvím Data Domain appliance v rámci technologického centra</t>
  </si>
  <si>
    <t>0005849</t>
  </si>
  <si>
    <t>0005882</t>
  </si>
  <si>
    <t>0003589</t>
  </si>
  <si>
    <t>0005896</t>
  </si>
  <si>
    <t>0005913</t>
  </si>
  <si>
    <t>0005937</t>
  </si>
  <si>
    <t>0005942</t>
  </si>
  <si>
    <t>0005980</t>
  </si>
  <si>
    <t>0005981</t>
  </si>
  <si>
    <t>0005864</t>
  </si>
  <si>
    <t>0005957</t>
  </si>
  <si>
    <t>0006020</t>
  </si>
  <si>
    <t>0005922</t>
  </si>
  <si>
    <t>2/2021</t>
  </si>
  <si>
    <t>KSUS</t>
  </si>
  <si>
    <t>3/2022</t>
  </si>
  <si>
    <t>Opěrná zeď silnic III/11619 Karlštejn</t>
  </si>
  <si>
    <t>II/113 opěrná zed obci Bílkovice u mostu ev. Č. 113-014</t>
  </si>
  <si>
    <t>4/2021</t>
  </si>
  <si>
    <t>202/2020/DOP</t>
  </si>
  <si>
    <t>železniční konstrukční SW</t>
  </si>
  <si>
    <t>203/2020/DOP</t>
  </si>
  <si>
    <t>Obnova budov cestmistrovství</t>
  </si>
  <si>
    <t>204/2020/DOP</t>
  </si>
  <si>
    <t xml:space="preserve">Licence na aplikaci výkonů </t>
  </si>
  <si>
    <t>205/2020/DOP</t>
  </si>
  <si>
    <t>206/2020/DOP</t>
  </si>
  <si>
    <t>207/2020/DOP</t>
  </si>
  <si>
    <t xml:space="preserve"> Lineární směrovací systém (BESIP)</t>
  </si>
  <si>
    <t>208/2020/DOP</t>
  </si>
  <si>
    <t>II/108 Chrást - Krupá</t>
  </si>
  <si>
    <t>209/2020/DOP</t>
  </si>
  <si>
    <t>III/33348 Kostelec n Č lesy</t>
  </si>
  <si>
    <t>210/2020/DOP</t>
  </si>
  <si>
    <t xml:space="preserve">III/1016 Stránčice - Kunice </t>
  </si>
  <si>
    <t>211/2020/DOP</t>
  </si>
  <si>
    <t>II/329 Plaňany - Radim</t>
  </si>
  <si>
    <t>212/2020/DOP</t>
  </si>
  <si>
    <t xml:space="preserve"> III/3285 Ovčáry - Býchory</t>
  </si>
  <si>
    <t>213/2020/DOP</t>
  </si>
  <si>
    <t>II/336 Buda - Čejtice</t>
  </si>
  <si>
    <t>214/2020/DOP</t>
  </si>
  <si>
    <t>II/339 Štipoklasy - Černené Janovice</t>
  </si>
  <si>
    <t>215/2020/DOP</t>
  </si>
  <si>
    <t>II/328 Sloveč - Kněžice</t>
  </si>
  <si>
    <t>216/2020/DOP</t>
  </si>
  <si>
    <t>217/2020/DOP</t>
  </si>
  <si>
    <t>III/24025 a III/24027 Žižice - Ješín</t>
  </si>
  <si>
    <t>218/2020/DOP</t>
  </si>
  <si>
    <t>219/2020/DOP</t>
  </si>
  <si>
    <t xml:space="preserve">III/10115 Dolní Břežany - propustek  </t>
  </si>
  <si>
    <t>220/2020/DOP</t>
  </si>
  <si>
    <t xml:space="preserve">II/101 Dřetovice, havárie zemního tělesa </t>
  </si>
  <si>
    <t>221/2020/DOP</t>
  </si>
  <si>
    <t>III/00719 a III/10145 Bouchalka, úprava křižovatky</t>
  </si>
  <si>
    <t>222/2020/DOP</t>
  </si>
  <si>
    <t>223/2020/DOP</t>
  </si>
  <si>
    <t>III/23639 Kvíc, odvodnění silnice</t>
  </si>
  <si>
    <t>224/2020/DOP</t>
  </si>
  <si>
    <t>Dopravní značení - omezení tranzitní dopravy</t>
  </si>
  <si>
    <t>225/2020/DOP</t>
  </si>
  <si>
    <t>III/0181 Láz</t>
  </si>
  <si>
    <t>226/2020/DOP</t>
  </si>
  <si>
    <t>III/11420 Kotenčice - Pičín</t>
  </si>
  <si>
    <t xml:space="preserve">Rekonstrukce a modernizace 26 sociálních zařízení včetně odpadů </t>
  </si>
  <si>
    <t>Domov Seniorů Vojkov</t>
  </si>
  <si>
    <t>Nákup a následná rekonstrukce nemovitosti č.p. 41</t>
  </si>
  <si>
    <t xml:space="preserve">Rekonstrukce elektroinstalace </t>
  </si>
  <si>
    <t>128/2020/SOC</t>
  </si>
  <si>
    <t>Revitalizace 2.NP a 3.NP domova</t>
  </si>
  <si>
    <t>129/2020/SOC</t>
  </si>
  <si>
    <t>Domov u Anežky Luštěnice</t>
  </si>
  <si>
    <t>130/2020/SOC</t>
  </si>
  <si>
    <t>Rekonstrukce - modernizace 30 sociálních zařízení</t>
  </si>
  <si>
    <t>131/2020/SOC</t>
  </si>
  <si>
    <t>036-23/2011/RK ze dne 30.05.2011 043-16/2011/ZK ze dne 6.6.2011</t>
  </si>
  <si>
    <t>12/2022</t>
  </si>
  <si>
    <t>0005879</t>
  </si>
  <si>
    <t>0005783</t>
  </si>
  <si>
    <t>9/2023</t>
  </si>
  <si>
    <t>Školní statek Středočeského kraje, příspěvková organizace - středisko Mělník</t>
  </si>
  <si>
    <t>142/2020/SKOL</t>
  </si>
  <si>
    <t>Předpoklad v roce   2021</t>
  </si>
  <si>
    <t>042-33/2019/RK ze dne 31.10.2019    139-21/2019/ZK ze dne 25.11.2019</t>
  </si>
  <si>
    <r>
      <t xml:space="preserve">CELKEM </t>
    </r>
    <r>
      <rPr>
        <b/>
        <sz val="10"/>
        <rFont val="Arial"/>
        <family val="2"/>
        <charset val="238"/>
      </rPr>
      <t>(včetně odloženého financování)</t>
    </r>
  </si>
  <si>
    <t>0006044</t>
  </si>
  <si>
    <t>0004856</t>
  </si>
  <si>
    <t>0004770</t>
  </si>
  <si>
    <t>0005975</t>
  </si>
  <si>
    <t>0005977</t>
  </si>
  <si>
    <t>0005978</t>
  </si>
  <si>
    <t>0005979</t>
  </si>
  <si>
    <t>0004844</t>
  </si>
  <si>
    <t>0005982</t>
  </si>
  <si>
    <t>0005912</t>
  </si>
  <si>
    <t>0005932</t>
  </si>
  <si>
    <t>0005890</t>
  </si>
  <si>
    <t>snížení CN o 79 tis. Kč</t>
  </si>
  <si>
    <t>0005944</t>
  </si>
  <si>
    <t>0005916</t>
  </si>
  <si>
    <t>0006028</t>
  </si>
  <si>
    <t>0006029</t>
  </si>
  <si>
    <t>Finanční zdroje r. 2020</t>
  </si>
  <si>
    <t>048-24/2019/RK ze dne  29.7.2019 088-20/2019/ZK ze dne 26.8.2019</t>
  </si>
  <si>
    <t>066-02/2020/RK ze dne 13.1.2020    071-22/2020/ZK ze dne 27.1.2020</t>
  </si>
  <si>
    <t>UKONČENO, zádržné ve výši 720 782,25 Kč bude vyplaceno po 13.9.2023</t>
  </si>
  <si>
    <t>celkem čerpáno k 31.12. 2019</t>
  </si>
  <si>
    <t>Plán čerpání r.  2020</t>
  </si>
  <si>
    <t>0006134</t>
  </si>
  <si>
    <t>22/2020/INF</t>
  </si>
  <si>
    <t>Nákup licencí k produktům DELL</t>
  </si>
  <si>
    <t>23/2020/INF</t>
  </si>
  <si>
    <t>Rozšíření GINIS</t>
  </si>
  <si>
    <t>24/2020/INF</t>
  </si>
  <si>
    <t>Rozlikávací rozpočet</t>
  </si>
  <si>
    <t>25/2020/INF</t>
  </si>
  <si>
    <t>Implementace GINIS na KSÚS</t>
  </si>
  <si>
    <t>Rekonstrukce - modernizace  sociálních zařízení</t>
  </si>
  <si>
    <t>0006027</t>
  </si>
  <si>
    <t>11/2021</t>
  </si>
  <si>
    <t>10/2021</t>
  </si>
  <si>
    <t>6/2021</t>
  </si>
  <si>
    <t>7/2021</t>
  </si>
  <si>
    <t>Informační portály na komunikacích SÚS Středočeského kraje I. etapa</t>
  </si>
  <si>
    <t>11/2022</t>
  </si>
  <si>
    <t>Instalace a oprava svodidel u silnic II. a III.tříd</t>
  </si>
  <si>
    <t>II/201 Hřebečníky, oprava propustku</t>
  </si>
  <si>
    <t>II/116 před obcí Karlštejn, nestabilní skalní masiv</t>
  </si>
  <si>
    <t>227/2020/DOP</t>
  </si>
  <si>
    <t>III/12133 Chválov, propustek a silnice</t>
  </si>
  <si>
    <t>228/2020/DOP</t>
  </si>
  <si>
    <t>III/1265 Sedmpány - úprava odvodnění</t>
  </si>
  <si>
    <t>229/2020/DOP</t>
  </si>
  <si>
    <t>III/32919, Blato, 32919-1</t>
  </si>
  <si>
    <t>230/2020/DOP</t>
  </si>
  <si>
    <t>III/11417, most přes odpad rybníka v obci Sychrov, 11417-2</t>
  </si>
  <si>
    <t>231/2020/DOP</t>
  </si>
  <si>
    <t>II/174 Tochovice, 174-003</t>
  </si>
  <si>
    <t>232/2020/DOP</t>
  </si>
  <si>
    <t>II/105 Neveklov, 105-017</t>
  </si>
  <si>
    <t>233/2020/DOP</t>
  </si>
  <si>
    <t>III/11417 Dobříš, 11417-1</t>
  </si>
  <si>
    <t>234/2020/DOP</t>
  </si>
  <si>
    <t>II/334-010 Radlice, most ev.č. 334-010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</si>
  <si>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</si>
  <si>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</si>
  <si>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</si>
  <si>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</si>
  <si>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</si>
  <si>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</si>
  <si>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</si>
  <si>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69/2020/KUL</t>
  </si>
  <si>
    <t>Převoz seníku z Rokytnice nad Jizerou</t>
  </si>
  <si>
    <t>70/2020/KUL</t>
  </si>
  <si>
    <t>Umělecká kopie Kutnohorské iluminace</t>
  </si>
  <si>
    <t>Český Brod - obnova elektroinstalace</t>
  </si>
  <si>
    <t>Technické zabezpečení evakuačních únikových cest budovy KÚ</t>
  </si>
  <si>
    <t xml:space="preserve">Výměna garážových vrat </t>
  </si>
  <si>
    <t>CELKEM 02 -  Odbor majetku a hospodářské správy</t>
  </si>
  <si>
    <t>14/2020/MJT</t>
  </si>
  <si>
    <t>15/2020/MJT</t>
  </si>
  <si>
    <t>0006084</t>
  </si>
  <si>
    <t>0006085</t>
  </si>
  <si>
    <t>0006078</t>
  </si>
  <si>
    <t>0006079</t>
  </si>
  <si>
    <t>0006080</t>
  </si>
  <si>
    <t>9/2021</t>
  </si>
  <si>
    <t>0006086</t>
  </si>
  <si>
    <t>0006135</t>
  </si>
  <si>
    <t>0006136</t>
  </si>
  <si>
    <t>0006081</t>
  </si>
  <si>
    <t>0006082</t>
  </si>
  <si>
    <t>0006077</t>
  </si>
  <si>
    <t>0006088</t>
  </si>
  <si>
    <t>0006089</t>
  </si>
  <si>
    <t>0006090</t>
  </si>
  <si>
    <t>0006091</t>
  </si>
  <si>
    <t>145/2020/SKOL</t>
  </si>
  <si>
    <t>Pořízení konvektomatu do ŠJ</t>
  </si>
  <si>
    <t>146/2020/SKOL</t>
  </si>
  <si>
    <t>147/2020/SKOL</t>
  </si>
  <si>
    <t>Startovací byty, Luční 860, 2. etapa</t>
  </si>
  <si>
    <t>148/2020/SKOL</t>
  </si>
  <si>
    <t>Dokončení zateplení fasád budovy dílen odborného výcviku</t>
  </si>
  <si>
    <t>149/2020/SKOL</t>
  </si>
  <si>
    <t xml:space="preserve">Instruktážní nácviková hala </t>
  </si>
  <si>
    <t>150/2020/SKOL</t>
  </si>
  <si>
    <t>Dětský domov a Mateřská škola, Beroun, příspěvková organizace</t>
  </si>
  <si>
    <t>Nákup osobního vozu</t>
  </si>
  <si>
    <t>151/2020/SKOL</t>
  </si>
  <si>
    <t>152/2020/SKOL</t>
  </si>
  <si>
    <t>153/2020/SKOL</t>
  </si>
  <si>
    <t>Dětský domov a Školní jídelna, Zruč nad Sázavou, Poštovní 594</t>
  </si>
  <si>
    <t>Nákup devítimístného vozidla</t>
  </si>
  <si>
    <t>154/2020/SKOL</t>
  </si>
  <si>
    <t>Rekonstrukce výměníkové stanice v hale</t>
  </si>
  <si>
    <t>155/2020/SKOL</t>
  </si>
  <si>
    <t xml:space="preserve"> 9 místné auto na přepravu osob</t>
  </si>
  <si>
    <t>156/2020/SKOL</t>
  </si>
  <si>
    <t>Traktor 70-100 KW</t>
  </si>
  <si>
    <t>158/2020/SKOL</t>
  </si>
  <si>
    <t>Střední zdravotnická škola a Vyšší odborná škola zdravotnická, Mladá Boleslav, B. Němcové 482</t>
  </si>
  <si>
    <t>Přestavba pokojů DM na učebny</t>
  </si>
  <si>
    <t>159/2020/SKOL</t>
  </si>
  <si>
    <t>Gymnázium Jiřího z Poděbrad, Poděbrady, Studentská 166</t>
  </si>
  <si>
    <t>PD - přístavba jižního křídla</t>
  </si>
  <si>
    <t>161/2020/SKOL</t>
  </si>
  <si>
    <t>Integrovaná střední škola Stanislava Kubra, Středokluky, Školská 105</t>
  </si>
  <si>
    <t>Rekonstrukce  a vybudování sociálních zařízení ve škole a na DM</t>
  </si>
  <si>
    <t>162/2020/SKOL</t>
  </si>
  <si>
    <t>163/2020/SKOL</t>
  </si>
  <si>
    <t>Střední zemědělská škola, Rakovník, Pražská 1222</t>
  </si>
  <si>
    <t xml:space="preserve">Traktor </t>
  </si>
  <si>
    <t>164/2020/SKOL</t>
  </si>
  <si>
    <t>Vybudování parkoviště na pozemku školy</t>
  </si>
  <si>
    <t>165/2020/SKOL</t>
  </si>
  <si>
    <t>Krmný vůz</t>
  </si>
  <si>
    <t>ANO
ANO</t>
  </si>
  <si>
    <t>0006049</t>
  </si>
  <si>
    <t>0006137</t>
  </si>
  <si>
    <t>0005994</t>
  </si>
  <si>
    <t>0005991</t>
  </si>
  <si>
    <t>0005939</t>
  </si>
  <si>
    <t>0005940</t>
  </si>
  <si>
    <t>0006145</t>
  </si>
  <si>
    <t>0000122</t>
  </si>
  <si>
    <t>0006165</t>
  </si>
  <si>
    <t>0006053</t>
  </si>
  <si>
    <t>235/2020/DOP</t>
  </si>
  <si>
    <t>II/329 Poděbrady, přemostění přes ČD</t>
  </si>
  <si>
    <t>Pořízení pánve do ŠJ</t>
  </si>
  <si>
    <t>166/2020/SKOL</t>
  </si>
  <si>
    <t>Repase pece pro odborný výcvik</t>
  </si>
  <si>
    <t>167/2020/SKOL</t>
  </si>
  <si>
    <t>Multifunkční hřiště</t>
  </si>
  <si>
    <t>havárie</t>
  </si>
  <si>
    <t>Vybudování nových sociálních zařízení z umakartových jader</t>
  </si>
  <si>
    <t>Finanční prostředky r. 2020</t>
  </si>
  <si>
    <t>0006176</t>
  </si>
  <si>
    <t>0005976</t>
  </si>
  <si>
    <t>Plán čerpání r.  2021</t>
  </si>
  <si>
    <t>0006071</t>
  </si>
  <si>
    <t>Středočeský portál služeb</t>
  </si>
  <si>
    <t>2/2020/ŘDP</t>
  </si>
  <si>
    <t>Aktuální stav (Příprava VZ, Probíhá VZ, Realizace, Finanční vypořádání, Ukončeno,  Zrušeno)</t>
  </si>
  <si>
    <t>Zhotovena PD, probíhá změna územního plánu</t>
  </si>
  <si>
    <t>Rekonstrukce elektroinstalace, rozvodu vody a odpadů v DOZP</t>
  </si>
  <si>
    <t xml:space="preserve">Rekonstrukce  pokojů II. Etapa </t>
  </si>
  <si>
    <t>0006236</t>
  </si>
  <si>
    <t>Nákup nem. pro den. stac a odl. sl. v okr. Rakovník</t>
  </si>
  <si>
    <t xml:space="preserve">Rekonstrukce pokojů III. etapa </t>
  </si>
  <si>
    <t>0006229</t>
  </si>
  <si>
    <t>132/2020/SOC</t>
  </si>
  <si>
    <t>Nákup nemovitosti pro chr. bydlení</t>
  </si>
  <si>
    <t>133/2020/SOC</t>
  </si>
  <si>
    <t>Úprava parteru - odvlhčení stěn v 1. PP</t>
  </si>
  <si>
    <t>16/2020/MJT</t>
  </si>
  <si>
    <t>Rekonstrukce podatelny KÚ - část pro veřejnost</t>
  </si>
  <si>
    <t>17/2020/MJT</t>
  </si>
  <si>
    <t>Dělící prosklené stěny v budově KÚ</t>
  </si>
  <si>
    <t>0006251</t>
  </si>
  <si>
    <t>0006252</t>
  </si>
  <si>
    <t>Rekonstrukce suterénu na cvičební sál</t>
  </si>
  <si>
    <t>0006253</t>
  </si>
  <si>
    <t>0006254</t>
  </si>
  <si>
    <t>0006255</t>
  </si>
  <si>
    <t>0006256</t>
  </si>
  <si>
    <t>0006263</t>
  </si>
  <si>
    <t>0006262</t>
  </si>
  <si>
    <t>0006264</t>
  </si>
  <si>
    <t>0006265</t>
  </si>
  <si>
    <t>0006266</t>
  </si>
  <si>
    <t>0006261</t>
  </si>
  <si>
    <t>0006259</t>
  </si>
  <si>
    <t>0006260</t>
  </si>
  <si>
    <t>0006257</t>
  </si>
  <si>
    <t>0006258</t>
  </si>
  <si>
    <t>12/2023</t>
  </si>
  <si>
    <t>0006244</t>
  </si>
  <si>
    <t>0006243</t>
  </si>
  <si>
    <t>0006269</t>
  </si>
  <si>
    <t>71/2020/KUL</t>
  </si>
  <si>
    <t>Nákup autobusové zastávky Přerov na Labem</t>
  </si>
  <si>
    <t>72/2020/KUL</t>
  </si>
  <si>
    <t>probíhá soudní spor</t>
  </si>
  <si>
    <t>Finanční vypořádání</t>
  </si>
  <si>
    <t>0006198</t>
  </si>
  <si>
    <t>0006239</t>
  </si>
  <si>
    <t>6/2022</t>
  </si>
  <si>
    <t>Netvořice III/1056, III/1057, III/1059, III/10510, III/1065</t>
  </si>
  <si>
    <t>236/2020/DOP</t>
  </si>
  <si>
    <t>III/2746 Libichov Dobrovice</t>
  </si>
  <si>
    <t>237/2020/DOP</t>
  </si>
  <si>
    <t>III/10165 Úvaly, prutah</t>
  </si>
  <si>
    <t>238/2020/DOP</t>
  </si>
  <si>
    <t>239/2020/DOP</t>
  </si>
  <si>
    <t xml:space="preserve">III/0172 Opatovice, most ev.č.0172-1 </t>
  </si>
  <si>
    <t>240/2020/DOP</t>
  </si>
  <si>
    <t>Neuznatelné náklady projektů ze ZP</t>
  </si>
  <si>
    <t>241/2020/DOP</t>
  </si>
  <si>
    <t>III/22918 Kounov</t>
  </si>
  <si>
    <t>242/2020/DOP</t>
  </si>
  <si>
    <t>III/23628 Drnek</t>
  </si>
  <si>
    <t>243/2020/DOP</t>
  </si>
  <si>
    <t>II/113 Mrzky</t>
  </si>
  <si>
    <t>244/2020/DOP</t>
  </si>
  <si>
    <t>245/2020/DOP</t>
  </si>
  <si>
    <t>III/1018 Dolní Lomnice</t>
  </si>
  <si>
    <t>246/2020/DOP</t>
  </si>
  <si>
    <t>III/1064 Nedvězí</t>
  </si>
  <si>
    <t>247/2020/DOP</t>
  </si>
  <si>
    <t>III/00412, III/10227 Dlouhá Lhota</t>
  </si>
  <si>
    <t>248/2020/DOP</t>
  </si>
  <si>
    <t>III/24424 Čečelice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</si>
  <si>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</si>
  <si>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</si>
  <si>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</si>
  <si>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</si>
  <si>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</si>
  <si>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</si>
  <si>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2/2020/OBŘ</t>
  </si>
  <si>
    <t>134/2020/SOC</t>
  </si>
  <si>
    <t>3/2020/OZP</t>
  </si>
  <si>
    <t>3/2020/ŘDP</t>
  </si>
  <si>
    <t>138/2020/ZDR</t>
  </si>
  <si>
    <t>73/2020/KUL</t>
  </si>
  <si>
    <t>168/2020/SKOL</t>
  </si>
  <si>
    <t>025-13/2020/RK ze dne 30.3.2020 115-24/2020/ZK ze dne 1.6.2020</t>
  </si>
  <si>
    <t>251/2020/DOP</t>
  </si>
  <si>
    <t>252/2020/DOP</t>
  </si>
  <si>
    <t>0006327</t>
  </si>
  <si>
    <t>4/2020/REG</t>
  </si>
  <si>
    <t>0006218</t>
  </si>
  <si>
    <t>0006004</t>
  </si>
  <si>
    <t>036-53/2020/RK ze dne 20.7.2020  130-26/2020/ZK ze dne 3.8.2020</t>
  </si>
  <si>
    <t>Zásobník investic Středočeského kraje na rok 2020 - změna č. 4</t>
  </si>
  <si>
    <t>0006345</t>
  </si>
  <si>
    <t>0006344</t>
  </si>
  <si>
    <t>0006283</t>
  </si>
  <si>
    <t>0006295</t>
  </si>
  <si>
    <t>0006284</t>
  </si>
  <si>
    <t>0006294</t>
  </si>
  <si>
    <t>0005936</t>
  </si>
  <si>
    <t>0005983</t>
  </si>
  <si>
    <t>0006217</t>
  </si>
  <si>
    <t>0006289</t>
  </si>
  <si>
    <t>0006291</t>
  </si>
  <si>
    <t>Rozdělení zůstatku hospodaření SK z roku 2019 (usnesení č. 013-24/2020/ZK ze dne 1.6.2020)</t>
  </si>
  <si>
    <t>Převod finančních prostředků z kapitoly 23 - Ostatní - Specifické rezervy - jiné očekávané výdaje ve zdravotnictví (usnesení č. 026-49/2020/RK ze dne 29.6.2020</t>
  </si>
  <si>
    <t>Změna č. 4</t>
  </si>
  <si>
    <t>Kapitálové prostředky  (před změnou č. 4)</t>
  </si>
  <si>
    <t>Kapitálové prostředky  (po změně  č. 4)</t>
  </si>
  <si>
    <t>notebooky</t>
  </si>
  <si>
    <t xml:space="preserve"> Údržba DIO do 4/2021 (stavebně dokončeno)</t>
  </si>
  <si>
    <t xml:space="preserve"> společná investice se SŽDC</t>
  </si>
  <si>
    <t>mimo rozpočet SK</t>
  </si>
  <si>
    <t>Dotace vyčerpána v plné výši.
Dodávky realizovány/ukončeny.</t>
  </si>
  <si>
    <t>Část 1 UKONČENO
Část 2 UKONČENO</t>
  </si>
  <si>
    <t>Investiční dotace vyčerpána v plné výši.</t>
  </si>
  <si>
    <t>139/2020/ZDR</t>
  </si>
  <si>
    <t>0006412</t>
  </si>
  <si>
    <t>Pavilon centrálního příjmu</t>
  </si>
  <si>
    <t>140/2020/ZDR</t>
  </si>
  <si>
    <t>Pavilon centrálního příjmu - etapa II</t>
  </si>
  <si>
    <t xml:space="preserve">PŘÍPRAVA VZ </t>
  </si>
  <si>
    <t>141/2020/ZDR</t>
  </si>
  <si>
    <t>Rekonstrukce jednoho podlaží a suterénu pavilonu I (pavilon interní medicíny)</t>
  </si>
  <si>
    <t>142/2020/ZDR</t>
  </si>
  <si>
    <t>0006414</t>
  </si>
  <si>
    <t>Rekonstrukce objektu SO 03, pavilon "O"</t>
  </si>
  <si>
    <t>příprava VZ na zhotovitele akce</t>
  </si>
  <si>
    <t>143/2020/ZDR</t>
  </si>
  <si>
    <t>Rekonstrukce objektu SO 05, pavilon "E"</t>
  </si>
  <si>
    <t>144/2020/ZDR</t>
  </si>
  <si>
    <t>0006419</t>
  </si>
  <si>
    <t>Pavilon č. 4 (etapa 2)</t>
  </si>
  <si>
    <t>145/2020/ZDR</t>
  </si>
  <si>
    <t xml:space="preserve">ZZS SČK, p. o. </t>
  </si>
  <si>
    <t>Vybudování nového stanoviště ZZS SK, Slaný</t>
  </si>
  <si>
    <t>Příprava VZ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</si>
  <si>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</si>
  <si>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</si>
  <si>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</si>
  <si>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</si>
  <si>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</si>
  <si>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</si>
  <si>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Rekonstrukce a přístavba budovy N</t>
  </si>
  <si>
    <t xml:space="preserve">Probíhá VŘ </t>
  </si>
  <si>
    <t>149/2020/ZDR</t>
  </si>
  <si>
    <t>Rekonstrukce a přístavba budovy D2</t>
  </si>
  <si>
    <t>150/2020/ZDR</t>
  </si>
  <si>
    <t>0006413</t>
  </si>
  <si>
    <t>Rekonstrukce 2. NP pavilonu E v areálu 2 (léčebna dlouhodobě nemocných)</t>
  </si>
  <si>
    <t>Zvýšení ceny o 1 345 330,98 Kč - vicepráce - nutná rekonstr. El. rozvodů. Zvýšení ceny hrazeno z kapitoly odboru</t>
  </si>
  <si>
    <t>135/2020/SOC</t>
  </si>
  <si>
    <t>Trafostanice</t>
  </si>
  <si>
    <t>136/2020/SOC</t>
  </si>
  <si>
    <t>Demolice původní budovy školského zařízení a výstavba nové budovy DS v Dobříši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</si>
  <si>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</si>
  <si>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</si>
  <si>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</si>
  <si>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</si>
  <si>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</si>
  <si>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</si>
  <si>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</si>
  <si>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140/2020/SOC</t>
  </si>
  <si>
    <t>Snížení energetické náročnosti domova Sedlčany - neuznatelné náklady</t>
  </si>
  <si>
    <t>Nová akce financovaná z části z dotace</t>
  </si>
  <si>
    <t>0006421</t>
  </si>
  <si>
    <t>0006422</t>
  </si>
  <si>
    <t>navýšení celkových nákladů - požadavek PO</t>
  </si>
  <si>
    <t>18/2020/MJT</t>
  </si>
  <si>
    <t>Akustická úprava místnosti videokonference</t>
  </si>
  <si>
    <t>změna financování - převod 1,3 mil. Kč z r. 2020 do r. 2021</t>
  </si>
  <si>
    <t>změna financování - převod 3 mil. Kč z r. 2020 do r. 2021</t>
  </si>
  <si>
    <t>změna financování - převod 429 tis. Kč z r. 2020 do r. 2021</t>
  </si>
  <si>
    <t>změna financování - převod 100 tis. Kč z r. 2020 do r. 2021</t>
  </si>
  <si>
    <t>změna financování - převod 236 tis. Kč z r. 2020 do r. 2021</t>
  </si>
  <si>
    <t>změna financování - převod 70 tis. Kč z r. 2020 do r. 2021</t>
  </si>
  <si>
    <t>Změna financování-převod 661 tis.Kč z r. 2020 do r. 2021. Zrušena VZMR vyhlášeno nové VZMR. Realizace ve 12/2020.</t>
  </si>
  <si>
    <t>Změna financování-převod 400 tis.Kč z r. 2020 do r. 2021.</t>
  </si>
  <si>
    <t>Změna názvu akce. Snížení CN o 2,289 mil. Kč, Změna financování-převod 4,281 mil.Kč z r. 2020 do r. 2021.</t>
  </si>
  <si>
    <t>Změna financování-převod 3 mil.Kč z r. 2020 do r. 2021.</t>
  </si>
  <si>
    <t>Změna financování-převod 5,114 mil.Kč z r. 2020 do r. 2021.</t>
  </si>
  <si>
    <t>Změna financování-převod 3,5 mil.Kč z r. 2020 do r. 2021.</t>
  </si>
  <si>
    <t>Změna financování-převod 20,644 mil.Kč z r. 2020 do r. 2021. Budova zakoupena, probíhá zpracovávání PD. Z důvodu Covid 19 rekonstrukce převedena na rok 2021</t>
  </si>
  <si>
    <t>Změna financování-převod 7 mil.Kč z r. 2020 do r. 2021.</t>
  </si>
  <si>
    <t>Zvýšení ceny akce o 169 tis.Kč bude hrazeno z prostředků PO</t>
  </si>
  <si>
    <t>0005696</t>
  </si>
  <si>
    <t>změna financování - převod 109,356  mil. Kč z r. 2020 do r. 2022+</t>
  </si>
  <si>
    <t>změna financování - převod 14,04  mil. Kč z r. 2020 do r. 2022+</t>
  </si>
  <si>
    <t>snížení celk. nákladů o 105 tis. Kč výběrovým řízením</t>
  </si>
  <si>
    <t>zvýšení CN o 616 tis Kč</t>
  </si>
  <si>
    <t>6/2023</t>
  </si>
  <si>
    <t>změna financování - převod 3,763  mil. Kč z r. 2020 do r. 2021</t>
  </si>
  <si>
    <t>změna financování - převod 50 tis. Kč z r. 2020 do r. 2021</t>
  </si>
  <si>
    <t>Snížení CN o 492 tis Kč, změna během stavby</t>
  </si>
  <si>
    <t>změna financování - převod 5 mil. Kč z r. 2020 do r. 2021</t>
  </si>
  <si>
    <t>Snížení CN o 11 tis Kč výběrovým řízením</t>
  </si>
  <si>
    <t>snížení CN o 16 tis Kč</t>
  </si>
  <si>
    <t>změna financování - převod 3,005 mil. Kč z r. 2020 do r. 2021</t>
  </si>
  <si>
    <t>10/2022</t>
  </si>
  <si>
    <t>zvýšení celkových nákladů o 1,802 mil. Kč, změna financování - převod 96 tis. Kč z r. 2020 do r. 2021</t>
  </si>
  <si>
    <t>9/2022</t>
  </si>
  <si>
    <t>snížení celkových nákládů o 592 tis Kč  výběrovým řízením</t>
  </si>
  <si>
    <t>snížení celk. nákládů o 242 tis. Kč</t>
  </si>
  <si>
    <t>změna financování - převod 0,5 mil. Kč z r. 2020 do r. 2021</t>
  </si>
  <si>
    <t>Navýšení nákladů o 4,176 mil. Kč z důvodů opravy objízdních trasy při realizaci (příprava jiné technologie provedení proti záměru), změna financování - převod 30,634 mil. Kč z r. 2020 do r. 2021</t>
  </si>
  <si>
    <t>změna financování - převod 12 mil. Kč z r. 2020 do r. 2021</t>
  </si>
  <si>
    <t>změna financování - převod 790 tis. Kč z r. 2020 do r. 2021</t>
  </si>
  <si>
    <t>zvýšení celk. nákladů o 1,325 mil. Kč - změny během stavby</t>
  </si>
  <si>
    <t>změna financování - převod 6,848 mil. Kč z r. 2020 do r. 2021</t>
  </si>
  <si>
    <t>závislé na předchozí investici města Vlašim - chodníky dokončení 11/2020</t>
  </si>
  <si>
    <t>zvýšení celkových nákladů o 4,355 mil. Kč (nezapočteno DPH), změna financování - převod 15,34 mil. Kč z r. 2020 do r. 2021</t>
  </si>
  <si>
    <t>snížení CN o  1 tis. Kč</t>
  </si>
  <si>
    <t>Navýšení o 34 tis Kč - výkon technického dozoru stavby</t>
  </si>
  <si>
    <t>navýšení CN o 42 tis Kč (o přeložku inž. sítí)</t>
  </si>
  <si>
    <t>Navýšení o 50 tis Kč (r.2021), vícepráce</t>
  </si>
  <si>
    <t>změna financování - převod 600 tis.Kč z r. 2020 do r. 2021</t>
  </si>
  <si>
    <t>snížení CN - úspora 769 tis Kč výběrovým řízením</t>
  </si>
  <si>
    <t>změna financování - převod 3,682 mil. Kč z r. 2020 do r. 2021</t>
  </si>
  <si>
    <t>změna financování - převod 7,713 mil. Kč z r. 2020 do r. 2021</t>
  </si>
  <si>
    <t>změna financování - převod 2,034 mil. Kč z r. 2020 do r. 2022+</t>
  </si>
  <si>
    <t>7/2022</t>
  </si>
  <si>
    <t>změna financování - převod 140 tis.Kč z r. 2020 do r. 2021</t>
  </si>
  <si>
    <t>změna financování - převod 6 mil. Kč z r. 2020 do r. 2021</t>
  </si>
  <si>
    <t>změna financování - převod 4 mil. Kč z r. 2020 do r. 2022+</t>
  </si>
  <si>
    <t>změna financování - převod 6,407 mil. Kč z r. 2020 do r. 2022+</t>
  </si>
  <si>
    <t>změna financování - převod 1,819 mil. Kč z r. 2021 do r. 2020</t>
  </si>
  <si>
    <t>snížení CN o 232 tis. Kč  výběr řízením</t>
  </si>
  <si>
    <t>změna financování - převod 1,5 mil. Kč z r. 2020 do r. 2021, snížení celkových nákladů o 1 mil Kč - snížení rozsahu dopravního značení</t>
  </si>
  <si>
    <t>navýšení o 18 tis Kč - vícepráce</t>
  </si>
  <si>
    <t>změna financování - přesun neuznatelných nákladů investičních akcí z r.2020 do r. 2022+</t>
  </si>
  <si>
    <t>změna financování - převod 4,987 mil. Kč z r. 2020 do r. 2021</t>
  </si>
  <si>
    <t>změna financování - převod 2,735 mil. Kč z r. 2020 do r. 2022+</t>
  </si>
  <si>
    <t>změna financování - převod 2,498 mil. Kč z r. 2020 do r. 2022+</t>
  </si>
  <si>
    <t>III/12540, III/12547 Radovesnice I</t>
  </si>
  <si>
    <t>změna financování - převod 4,988 mil. Kč z r. 2020 do r. 2022+</t>
  </si>
  <si>
    <t>změna financování - převod 893 tis. Kč z r. 2020 do r. 2022+</t>
  </si>
  <si>
    <t>změna financování - převod 841 tis. Kč z r. 2020 do r. 2022+</t>
  </si>
  <si>
    <t>změna financování - převod 3,265 mil. Kč z r. 2020 do r. 2022+</t>
  </si>
  <si>
    <t>změna financování - převod 3,427 mil. Kč z r. 2020 do r. 2022+</t>
  </si>
  <si>
    <t>změna financování - převod 3,471 mil. Kč z r. 2020 do r. 2022+</t>
  </si>
  <si>
    <t>změna financování - převod 1,378 mil. Kč z r. 2020 do r. 2022+</t>
  </si>
  <si>
    <t>změna financování - převod 4,384 mil. Kč z r. 2020 do r. 2022+</t>
  </si>
  <si>
    <t>změna financování - převod 2,032 mil. Kč z r. 2020 do r. 2022+</t>
  </si>
  <si>
    <t>253/2020/DOP</t>
  </si>
  <si>
    <t>Projekt značení- vyznačení odboček na expoziční objekty Středočeského kraje</t>
  </si>
  <si>
    <t>II/322 Týnec nad Labem, most ev.č.322-005-oprava mostu v režimu "vyprojektuj a postav" ve smyslu Žluté knihy FIDIC</t>
  </si>
  <si>
    <t>11/2023</t>
  </si>
  <si>
    <t>Změna financování-převod 2 mil.Kč z r. 2020 do r. 2021. Nemovitost zakoupena a předána do majetku PO Nalžovicxký zámek. Z tohoto důvodu je nutná změna realizátora ze SK na PO</t>
  </si>
  <si>
    <r>
      <t xml:space="preserve">změna financování - převod 48 tis. z r.2021 do r. 2020.  Dle informací bude financováno z prostředků </t>
    </r>
    <r>
      <rPr>
        <b/>
        <sz val="14"/>
        <rFont val="Arial"/>
        <family val="2"/>
        <charset val="238"/>
      </rPr>
      <t>EIB</t>
    </r>
  </si>
  <si>
    <t>snížení CN o 6 mil. Kč</t>
  </si>
  <si>
    <r>
      <t xml:space="preserve">Dle informací bude financováno z prostředků </t>
    </r>
    <r>
      <rPr>
        <b/>
        <sz val="14"/>
        <rFont val="Arial"/>
        <family val="2"/>
        <charset val="238"/>
      </rPr>
      <t>EIB</t>
    </r>
  </si>
  <si>
    <t>snížení CN o 256 tis. kč</t>
  </si>
  <si>
    <t>změna financování - převod 100 tis. Kč z r.2020 do r. 2021</t>
  </si>
  <si>
    <t>změna financování - převod 3,249 mil. Kč z r.2020 do r. 2021</t>
  </si>
  <si>
    <t xml:space="preserve"> Probíhá realizace</t>
  </si>
  <si>
    <t>navýšení 300,00 Kč z PzP</t>
  </si>
  <si>
    <t>snížení CN o 129 tis. Kč</t>
  </si>
  <si>
    <t>×</t>
  </si>
  <si>
    <t>snížení CN o 657 tis. Kč</t>
  </si>
  <si>
    <t>změna financování - převod 218 tis. Kč z r.2020 do r. 2021</t>
  </si>
  <si>
    <t>snížení CN o 518 tis. Kč</t>
  </si>
  <si>
    <t>Navýšení ceny o 2,952 mil. Kč na základě vypracované PD</t>
  </si>
  <si>
    <t>soutěží se PD</t>
  </si>
  <si>
    <t>smlouva před podpisem</t>
  </si>
  <si>
    <t>snížení CN o 150 tis. Kč</t>
  </si>
  <si>
    <t>navýšení CN o 121 tis. Kč za autorský dozor</t>
  </si>
  <si>
    <t>změna financování - převod 6 mil. Kč z r.2020 do r. 2021</t>
  </si>
  <si>
    <t xml:space="preserve">Změna způsobu financování - z kap. 5 </t>
  </si>
  <si>
    <t>025-13/2020/RK ze dne 30.3.2020 115-24/2020/ZK ze dne 1.6.2021</t>
  </si>
  <si>
    <t>025-13/2020/RK ze dne 30.3.2020 115-24/2020/ZK ze dne 1.6.2022</t>
  </si>
  <si>
    <t>169/2020/SKOL</t>
  </si>
  <si>
    <t>0006157</t>
  </si>
  <si>
    <t>Střední odborná škola a Střední odborné učiliště Stanislava Kubra, Středokluky, Školská 105</t>
  </si>
  <si>
    <t>Oprava školní jídelny a kuchyně včetně technologických zařízení</t>
  </si>
  <si>
    <t>170/2020/SKOL</t>
  </si>
  <si>
    <t>Střední odborná škola a Střední odborné učiliště, Kralupy nad Vltavou, Cesta brigádníků 693</t>
  </si>
  <si>
    <t>Rekonstrukce střech nad dílnami</t>
  </si>
  <si>
    <t>velmi špatný stav střech, opakované zatékání, nerentabilní postupné opakované opravy, nezbytné provést celkovou rekonstrukci včetně doplnění degradovaných vrstev střešního pláště, oprava rozdělena do tří fází, které je možné realizovat v průběhu tří let</t>
  </si>
  <si>
    <t>171/2020/SKOL</t>
  </si>
  <si>
    <t>jedná se nezpůsobilé výdaje akce Snížení energetické  náročnosti areálu SOU Hubálov, částka 6 581 199,43 Kč je rozdíl mezi předpokladádanou a  vyšší vysoutěženou cenou, schváleno v RK 2.11.2020</t>
  </si>
  <si>
    <t>Snížení enrgetické náročnosti SOU Hubálov  (Neuznatelné náklady projektu ze ZP)</t>
  </si>
  <si>
    <t>Změna financování - převod 6 mil. Kč z r. 2020 do r. 2021.  Dílčí plnění jednotlivých akcí</t>
  </si>
  <si>
    <t>změna financování - převod 254 tis. Kč z r. 2020 do r. 2021</t>
  </si>
  <si>
    <t>změna financování - převod 5,717 mil. Kč z r. 2020 do r. 2021</t>
  </si>
  <si>
    <t>změna financování - převod 247 tis. Kč z r. 2020 do r. 2021, čeká na spolusouvisející inv. akci</t>
  </si>
  <si>
    <t>254/2020/DOP</t>
  </si>
  <si>
    <t>změna financování - převod 180 tis. Kč z r. 2020 do r. 2021, změna realizátora, navýšení celkových nákladů o 214 tis. Kč (přechod ze zkušebního provozu na běžný provoz)</t>
  </si>
  <si>
    <t>snížení celkových nákladů o 1,343mil. Kč</t>
  </si>
  <si>
    <t>Navýšení celkových nákladů na akci o 2,482 mil. Kč - vychází z vyhodnocení nadlimitní VZ</t>
  </si>
  <si>
    <t>Změna způsobu financování (50 tis. Kč z roku 2021 do roku 2020)</t>
  </si>
  <si>
    <t>snížení celkových nákladů o 5 tis. Kč</t>
  </si>
  <si>
    <t>Rekonstrukce Tylova domu v Kutné Hoře</t>
  </si>
  <si>
    <t>navýšení CN o 2 mil. Kč, změna financování - převod 1,089 mil. Kč z r. 2020 do r. 2021</t>
  </si>
  <si>
    <t>navýšení CN o 2 mil. Kč</t>
  </si>
  <si>
    <t>změna financování - převod 889 tis. Kč z r. 2020 do r. 2022</t>
  </si>
  <si>
    <t xml:space="preserve">snížení CN o 138 tis. Kč </t>
  </si>
  <si>
    <t>navýšení CN o 2,5 mil. Kč, změna financování - převod 472 tis. Kč z r. 2020 do r. 2021</t>
  </si>
  <si>
    <t>změna financování - převod 1 tis. Kč z r. 2020 do r. 2021</t>
  </si>
  <si>
    <t>navýšení CN o 138 tis. Kč, změna financování - převod 444 tis. Kč z r. 2020 do r. 2021</t>
  </si>
  <si>
    <t>změna financování - převod 802 tis. Kč z r. 2020 do r. 2021</t>
  </si>
  <si>
    <t>26/2020/INF</t>
  </si>
  <si>
    <t>Digitalizace a elektronizace interních procesů organizace</t>
  </si>
  <si>
    <t>změna financování - přesun 1,931 mil. Kč z r. 2020 do r. 2021</t>
  </si>
  <si>
    <t xml:space="preserve">ZRUŠENO </t>
  </si>
  <si>
    <t>změna financování - převod 400 tis. Kč z r. 2020 do r. 2021</t>
  </si>
  <si>
    <t>Akce je financována z ušetřených fin. prostředků z akce Rekonstrukce  pokojů II. Etapa</t>
  </si>
  <si>
    <r>
      <t>Nová akce financovaná z půjčky</t>
    </r>
    <r>
      <rPr>
        <b/>
        <sz val="14"/>
        <rFont val="Arial"/>
        <family val="2"/>
        <charset val="238"/>
      </rPr>
      <t xml:space="preserve"> EIB</t>
    </r>
  </si>
  <si>
    <r>
      <t xml:space="preserve">Nová akce financovaná z půjčky </t>
    </r>
    <r>
      <rPr>
        <b/>
        <sz val="14"/>
        <rFont val="Arial"/>
        <family val="2"/>
        <charset val="238"/>
      </rPr>
      <t>EIB</t>
    </r>
  </si>
  <si>
    <r>
      <rPr>
        <b/>
        <sz val="10"/>
        <rFont val="Arial"/>
        <family val="2"/>
        <charset val="238"/>
      </rP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 xml:space="preserve">; </t>
    </r>
    <r>
      <rPr>
        <sz val="10"/>
        <rFont val="Arial"/>
        <family val="2"/>
        <charset val="238"/>
      </rPr>
      <t xml:space="preserve">
Roky 2022 - 2023 žádost o dotaci z rozpočtu SK.
Realizační projektové dokumentace
Stavební povolení
Probíhá VŘ na dodavatele stavebních prací.</t>
    </r>
  </si>
  <si>
    <r>
      <rPr>
        <b/>
        <sz val="10"/>
        <rFont val="Arial"/>
        <family val="2"/>
        <charset val="238"/>
      </rP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 xml:space="preserve">; </t>
    </r>
    <r>
      <rPr>
        <sz val="10"/>
        <rFont val="Arial"/>
        <family val="2"/>
        <charset val="238"/>
      </rPr>
      <t xml:space="preserve">
Příprava na převod pozemku do správy hospodaření ZZS SČK. Materiál je nyní na odboru majetku SČK. Připravena podrobná specifikace, která by měla být podkladem pro zpracování Studie pro zadání VZ.</t>
    </r>
  </si>
  <si>
    <r>
      <rPr>
        <b/>
        <sz val="10"/>
        <rFont val="Arial"/>
        <family val="2"/>
        <charset val="238"/>
      </rP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 xml:space="preserve">; </t>
    </r>
    <r>
      <rPr>
        <sz val="10"/>
        <rFont val="Arial"/>
        <family val="2"/>
        <charset val="238"/>
      </rPr>
      <t xml:space="preserve">
Připraveny podklady pro Studii pro zadání VZ. Zpracované nabídky pro objemovou studii ke schválení.</t>
    </r>
  </si>
  <si>
    <r>
      <rPr>
        <b/>
        <sz val="10"/>
        <rFont val="Arial"/>
        <family val="2"/>
        <charset val="238"/>
      </rPr>
      <t>Akce je uvedena v seznamu registrovaných projektů v</t>
    </r>
    <r>
      <rPr>
        <b/>
        <sz val="14"/>
        <rFont val="Arial"/>
        <family val="2"/>
        <charset val="238"/>
      </rPr>
      <t xml:space="preserve"> EIB</t>
    </r>
    <r>
      <rPr>
        <b/>
        <sz val="10"/>
        <rFont val="Arial"/>
        <family val="2"/>
        <charset val="238"/>
      </rPr>
      <t xml:space="preserve">; </t>
    </r>
    <r>
      <rPr>
        <sz val="10"/>
        <rFont val="Arial"/>
        <family val="2"/>
        <charset val="238"/>
      </rPr>
      <t xml:space="preserve">
Příprava na převod pozemku do vlastnictví SČK a následně správy hospodaření ZZS SČK. Materiál je nyní na odboru majetku SČK. Připravena podrobná specifikace, která by měla být podkladem pro zpracování Studie pro zadání VZ.</t>
    </r>
  </si>
  <si>
    <r>
      <t>Schváleno financování ve výši 107,25 mil. Kč z úvěru SK od</t>
    </r>
    <r>
      <rPr>
        <b/>
        <sz val="14"/>
        <rFont val="Arial"/>
        <family val="2"/>
        <charset val="238"/>
      </rPr>
      <t xml:space="preserve"> EIB</t>
    </r>
    <r>
      <rPr>
        <b/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</si>
  <si>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 xml:space="preserve">Schváleno financování ve výši 250 mil. Kč z úvěru SK od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
vybrán zhotovitel projektové dokumentace, dokončeno v 05/2020</t>
    </r>
  </si>
  <si>
    <r>
      <rPr>
        <b/>
        <sz val="10"/>
        <color rgb="FFFF0000"/>
        <rFont val="Arial"/>
        <family val="2"/>
        <charset val="238"/>
      </rPr>
      <t>Schváleno financování z úvěru SK od</t>
    </r>
    <r>
      <rPr>
        <b/>
        <sz val="14"/>
        <color rgb="FFFF0000"/>
        <rFont val="Arial"/>
        <family val="2"/>
        <charset val="238"/>
      </rPr>
      <t xml:space="preserve"> EIB</t>
    </r>
    <r>
      <rPr>
        <b/>
        <sz val="10"/>
        <color rgb="FFFF0000"/>
        <rFont val="Arial"/>
        <family val="2"/>
        <charset val="238"/>
      </rPr>
      <t xml:space="preserve">
ve výši 270 mil. Kč. V seznamu registrovaných projektů uvedeno pod názvem "Rekonstrukce bloku C2".
</t>
    </r>
    <r>
      <rPr>
        <sz val="10"/>
        <color rgb="FFFF0000"/>
        <rFont val="Arial"/>
        <family val="2"/>
        <charset val="238"/>
      </rPr>
      <t>Navýšení celkových nákladů akce o 12,376 mil. Kč, z toho 11,286 mil. v r. 2020</t>
    </r>
  </si>
  <si>
    <r>
      <t xml:space="preserve">Spolufinancování z </t>
    </r>
    <r>
      <rPr>
        <b/>
        <sz val="14"/>
        <rFont val="Arial"/>
        <family val="2"/>
        <charset val="238"/>
      </rPr>
      <t>EIB</t>
    </r>
  </si>
  <si>
    <r>
      <t xml:space="preserve">navýšení CN o 4,129 mil. Kč (zvýšení po dokončení PD), úvěr </t>
    </r>
    <r>
      <rPr>
        <b/>
        <sz val="14"/>
        <color rgb="FFFF0000"/>
        <rFont val="Arial"/>
        <family val="2"/>
        <charset val="238"/>
      </rPr>
      <t>EIB</t>
    </r>
    <r>
      <rPr>
        <sz val="10"/>
        <color rgb="FFFF0000"/>
        <rFont val="Arial"/>
        <family val="2"/>
        <charset val="238"/>
      </rPr>
      <t xml:space="preserve"> - spolufinancování 6,32 mil. Kč</t>
    </r>
  </si>
  <si>
    <r>
      <t>změna financování - převod 1 tis.Kč z r. 2020 do r. 2021, úvěr</t>
    </r>
    <r>
      <rPr>
        <b/>
        <sz val="14"/>
        <rFont val="Arial"/>
        <family val="2"/>
        <charset val="238"/>
      </rPr>
      <t xml:space="preserve"> EIB</t>
    </r>
    <r>
      <rPr>
        <sz val="10"/>
        <rFont val="Arial"/>
        <family val="2"/>
        <charset val="238"/>
      </rPr>
      <t xml:space="preserve"> - spolufinancování</t>
    </r>
  </si>
  <si>
    <r>
      <t xml:space="preserve">změna financování - převod 1 tis.Kč z r. 2020 do r. 2021, úvěr </t>
    </r>
    <r>
      <rPr>
        <b/>
        <sz val="14"/>
        <rFont val="Arial"/>
        <family val="2"/>
        <charset val="238"/>
      </rPr>
      <t>EIB</t>
    </r>
    <r>
      <rPr>
        <sz val="10"/>
        <rFont val="Arial"/>
        <family val="2"/>
        <charset val="238"/>
      </rPr>
      <t xml:space="preserve"> - spolufinancování</t>
    </r>
  </si>
  <si>
    <r>
      <t xml:space="preserve">11,534 mil. Kč placeno z půjčky </t>
    </r>
    <r>
      <rPr>
        <b/>
        <sz val="14"/>
        <color theme="1"/>
        <rFont val="Calibri"/>
        <family val="2"/>
        <charset val="238"/>
        <scheme val="minor"/>
      </rPr>
      <t>EIB</t>
    </r>
  </si>
  <si>
    <t xml:space="preserve">Most ev. č. 27510-4 přes potok před obcí Charvatce, most ev.č. 27515-2 přes potok v obci Pěčice </t>
  </si>
  <si>
    <t>Čerpáno 1.11.-15.11. 2020</t>
  </si>
  <si>
    <t>0006420</t>
  </si>
  <si>
    <t>Čerpáno 1.10.-31.10. 2020</t>
  </si>
  <si>
    <t>Silnice II/101 Zákolany sanace svahu a silnice po havarii</t>
  </si>
  <si>
    <t>0004859</t>
  </si>
  <si>
    <t>0005953</t>
  </si>
  <si>
    <t>0006290</t>
  </si>
  <si>
    <t>0006432</t>
  </si>
  <si>
    <t>0006358</t>
  </si>
  <si>
    <t>III/00519 Úhonice - Rudná</t>
  </si>
  <si>
    <t xml:space="preserve">změna způsobu financování, financováno z SFDI - převedeno do ZP </t>
  </si>
  <si>
    <t>změna způsobu financování, financováno z SFDI - převedeno do ZP</t>
  </si>
  <si>
    <t xml:space="preserve">změna způsobu financování - převedeno do ZP </t>
  </si>
  <si>
    <t>Snížení ceny o 66 tis. Kč na základě VZMR.</t>
  </si>
  <si>
    <r>
      <rPr>
        <b/>
        <sz val="10"/>
        <rFont val="Arial"/>
        <family val="2"/>
        <charset val="238"/>
      </rP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 xml:space="preserve">; </t>
    </r>
    <r>
      <rPr>
        <sz val="10"/>
        <rFont val="Arial"/>
        <family val="2"/>
        <charset val="238"/>
      </rPr>
      <t xml:space="preserve">
zpracována projektová dokumentace v rámci design&amp;build, dokončena 08/2020, 4-6 mil. Kč bude vynaloženo v roce 2020, zbytek v dalších letech.</t>
    </r>
  </si>
  <si>
    <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</si>
  <si>
    <r>
      <rPr>
        <b/>
        <sz val="10"/>
        <rFont val="Arial"/>
        <family val="2"/>
        <charset val="238"/>
      </rPr>
      <t xml:space="preserve">Schváleno financování ve výši 177,716 mil. Kč z úvěru SK od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>.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Požadavek na dotaci z rozpočtu SK v r. 2021-2022 
ve výši 172,619 mil. Kč. 
</t>
    </r>
    <r>
      <rPr>
        <sz val="10"/>
        <rFont val="Arial"/>
        <family val="2"/>
        <charset val="238"/>
      </rPr>
      <t>Vypracovány projektové dokumentace na dílčí části projektu (1. NP - zázemí pro zaměstnance, 1. NP - stavební úpravy pro magnetickou rezonanci),  zpracovává se PD pro výběr zhotovitele centrální rekonstrukce pavilonu "O", Stavební povolení vydáno 
s prodlouženou platností. Vydán souhlas přístrojové komise s pořízením 2 Ks přístroje magnetická rezonance.</t>
    </r>
  </si>
  <si>
    <r>
      <rPr>
        <b/>
        <sz val="10"/>
        <rFont val="Arial"/>
        <family val="2"/>
        <charset val="238"/>
      </rPr>
      <t xml:space="preserve">Akce je uvedena v seznamu registrovaných projektů v </t>
    </r>
    <r>
      <rPr>
        <b/>
        <sz val="14"/>
        <rFont val="Arial"/>
        <family val="2"/>
        <charset val="238"/>
      </rPr>
      <t>EIB</t>
    </r>
    <r>
      <rPr>
        <b/>
        <sz val="10"/>
        <rFont val="Arial"/>
        <family val="2"/>
        <charset val="238"/>
      </rPr>
      <t>;</t>
    </r>
    <r>
      <rPr>
        <sz val="10"/>
        <rFont val="Arial"/>
        <family val="2"/>
        <charset val="238"/>
      </rPr>
      <t xml:space="preserve">
Zpracovává se projektová dokumetnace.</t>
    </r>
  </si>
  <si>
    <r>
      <t xml:space="preserve">Schváleno financování ve výši 37,6 mil. Kč z úvěru SK od </t>
    </r>
    <r>
      <rPr>
        <b/>
        <sz val="14"/>
        <rFont val="Arial"/>
        <family val="2"/>
        <charset val="238"/>
      </rPr>
      <t>EIB</t>
    </r>
    <r>
      <rPr>
        <sz val="14"/>
        <rFont val="Arial"/>
        <family val="2"/>
        <charset val="238"/>
      </rPr>
      <t>.</t>
    </r>
  </si>
  <si>
    <t>změna způsobu financování, převedeno do ZP - financováno ze SFDI</t>
  </si>
  <si>
    <t>z toho úvěr EIB</t>
  </si>
  <si>
    <t>Čerpáno 1.+2.Q. (1.1.-30.6. 2020)</t>
  </si>
  <si>
    <t>Čerpáno 3.Q     (1.7.-30.9. 2020)</t>
  </si>
  <si>
    <t>snížení CN o 3 tis. Kč</t>
  </si>
  <si>
    <t>Schválený rozpočet 2020 (usnesení č. 008-21/2019/ZK ze dne 25.11.2019)</t>
  </si>
  <si>
    <t>Převod finančních prostředků z kapitoly 23 - Ostatní - Specifické rezervy - jiné očekávané výdaje ve zdravotnictví (usnesení č. 037-60/2020/RK ze dne 17.8.2020</t>
  </si>
  <si>
    <t>Převod finančních prostředků z kapitoly 12 - Investiční výdaje do kapitoly 11 - Správa majetku (usnesení č. 077-60/2020/RK ze dne 17.8.2020)</t>
  </si>
  <si>
    <t>Převod finančních prostředků z kapitoly 12 - Investiční výdaje do kapitoly 03 - Informatika (usnesení č. 045-72/2020/RK ze dne 5.10.2020)</t>
  </si>
  <si>
    <t>Převod finančních prostředků z kapitoly 23 - Ostatní - Rezerva Středočeského kraje (usnesení č. 017-74/2020/RK ze dne 12.10.2020)</t>
  </si>
  <si>
    <t>Převod finančních prostředků z kapitoly 07 - Zdravotnictví (usnesení č. 018-74/2020/RK ze dne 12. 10. 2020)</t>
  </si>
  <si>
    <t>Převod finančních prostředků z kapitoly 23 - Ostatní - prostředky na financování investičních projektů SK z úvěru EIB (usnesení č. 017-81/2020/RK ze dne 9.11.2020)</t>
  </si>
  <si>
    <t>Převod finančních prostředků z kapitoly 23 - Ostatní - prostředky na financování investičních projektů SK z úvěru EIB (usnesení č. 018-81/2020/RK ze dne 9.11.2020)</t>
  </si>
  <si>
    <t>Snížení rozpočtu Středočeského kraje o prostředky ze sdílených daní (usnesení č. 076-81/2020/RK ze dne 9.11.2020, bude schvalováno na prosincovém ZK)</t>
  </si>
  <si>
    <r>
      <t>Použití na plánované akce</t>
    </r>
    <r>
      <rPr>
        <sz val="10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 </t>
    </r>
  </si>
  <si>
    <t>změna financování - převod 22,326 mil. Kč z r. 2020 do r. 2021, navýšení CN o podíl obce 7,278 mil. Kč</t>
  </si>
  <si>
    <t>Upravený rozpočet k 12.11. 2020  -     8.043.285,83 Kč</t>
  </si>
  <si>
    <t>Upravený rozpočet k 12.11. 2020  -  12.978.986,79 Kč</t>
  </si>
  <si>
    <t>Upravený rozpočet k 12.11. 2020  -    8.027.402,62 Kč</t>
  </si>
  <si>
    <t>Upravený rozpočet k 12.11. 2020  -   25.339.701,02 Kč</t>
  </si>
  <si>
    <t>Upravený rozpočet k 12.11. 2020  -  268.534.119,82 Kč</t>
  </si>
  <si>
    <t>Upravený rozpočet k 12.11. 2020  -  147.319.610,23 Kč</t>
  </si>
  <si>
    <t>Upravený rozpočet k 12.11. 2020  -  61.895.463,42 Kč</t>
  </si>
  <si>
    <t>Upravený rozpočet k 12.11. 2020  - 314.955.203,02 Kč</t>
  </si>
  <si>
    <t>Upravený rozpočet k 12.11. 2020  -     5.447.679,25 Kč</t>
  </si>
  <si>
    <t>Upravený rozpočet k 12.11. 2020  -       802.320,17 Kč</t>
  </si>
  <si>
    <t>Upravený rozpočet k 12.11. 2020  -      4.815.000,00 Kč</t>
  </si>
  <si>
    <t>Upravený rozpočet k 12.11. 2020  - 103.243.253,71 Kč</t>
  </si>
  <si>
    <t>Upravený rozpočet k 12.11. 2020  - 961.402.025,88 Kč</t>
  </si>
  <si>
    <t xml:space="preserve">Poznámka </t>
  </si>
  <si>
    <t>změna financování - převod 469 tis. Kč z r.2020 do r. 2021, změna realizátora, uzavřena smlouva na zpracování studie</t>
  </si>
  <si>
    <t>Snížení celkových nákladů akce.</t>
  </si>
  <si>
    <t>5/2021</t>
  </si>
  <si>
    <t>změna financování - převod 3,1 mil. Kč z r. 2020 do r. 2022+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</si>
</sst>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,##0.0000000"/>
    <numFmt numFmtId="166" formatCode="#,##0.00000"/>
    <numFmt numFmtId="167" formatCode="0.00000"/>
    <numFmt numFmtId="168" formatCode="#,##0.0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trike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name val="Calibri"/>
      <family val="2"/>
      <scheme val="minor"/>
    </font>
    <font>
      <strike/>
      <sz val="12"/>
      <color rgb="FFFF0000"/>
      <name val="Arial"/>
      <family val="2"/>
      <charset val="238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0000FB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CBAD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4" fontId="3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6" fillId="0" borderId="0"/>
  </cellStyleXfs>
  <cellXfs count="2192">
    <xf numFmtId="0" fontId="0" fillId="0" borderId="0" xfId="0"/>
    <xf numFmtId="3" fontId="9" fillId="0" borderId="23" xfId="1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9" fillId="0" borderId="32" xfId="1" applyNumberFormat="1" applyFont="1" applyFill="1" applyBorder="1" applyAlignment="1">
      <alignment vertical="center" wrapText="1"/>
    </xf>
    <xf numFmtId="3" fontId="9" fillId="0" borderId="31" xfId="1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3" fontId="14" fillId="0" borderId="26" xfId="1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vertical="center" wrapText="1"/>
    </xf>
    <xf numFmtId="3" fontId="9" fillId="0" borderId="33" xfId="1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 wrapText="1"/>
    </xf>
    <xf numFmtId="3" fontId="13" fillId="0" borderId="31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4" fillId="0" borderId="33" xfId="1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vertical="center" wrapText="1"/>
    </xf>
    <xf numFmtId="3" fontId="9" fillId="0" borderId="13" xfId="1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3" fontId="14" fillId="0" borderId="23" xfId="1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 wrapText="1"/>
    </xf>
    <xf numFmtId="3" fontId="13" fillId="0" borderId="40" xfId="0" applyNumberFormat="1" applyFont="1" applyFill="1" applyBorder="1" applyAlignment="1">
      <alignment vertical="center" wrapText="1"/>
    </xf>
    <xf numFmtId="0" fontId="13" fillId="0" borderId="23" xfId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6" borderId="18" xfId="1" applyNumberFormat="1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6" borderId="18" xfId="1" applyNumberFormat="1" applyFont="1" applyFill="1" applyBorder="1" applyAlignment="1">
      <alignment horizontal="center" vertical="center" wrapText="1"/>
    </xf>
    <xf numFmtId="49" fontId="9" fillId="6" borderId="18" xfId="0" applyNumberFormat="1" applyFont="1" applyFill="1" applyBorder="1" applyAlignment="1">
      <alignment horizontal="center" vertical="center" wrapText="1"/>
    </xf>
    <xf numFmtId="3" fontId="9" fillId="6" borderId="18" xfId="1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9" fillId="6" borderId="18" xfId="1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3" fontId="13" fillId="0" borderId="26" xfId="1" applyNumberFormat="1" applyFont="1" applyFill="1" applyBorder="1" applyAlignment="1">
      <alignment vertical="center" wrapText="1"/>
    </xf>
    <xf numFmtId="3" fontId="9" fillId="0" borderId="24" xfId="1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 shrinkToFi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49" fontId="14" fillId="0" borderId="23" xfId="0" applyNumberFormat="1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vertical="center" wrapText="1"/>
    </xf>
    <xf numFmtId="3" fontId="9" fillId="0" borderId="18" xfId="1" applyNumberFormat="1" applyFont="1" applyFill="1" applyBorder="1" applyAlignment="1">
      <alignment vertical="center" wrapText="1"/>
    </xf>
    <xf numFmtId="3" fontId="9" fillId="0" borderId="3" xfId="1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7" fillId="6" borderId="18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1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32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vertical="center" wrapText="1"/>
    </xf>
    <xf numFmtId="3" fontId="7" fillId="0" borderId="30" xfId="0" applyNumberFormat="1" applyFont="1" applyFill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3" fontId="9" fillId="0" borderId="37" xfId="1" applyNumberFormat="1" applyFont="1" applyFill="1" applyBorder="1" applyAlignment="1">
      <alignment vertical="center" wrapText="1"/>
    </xf>
    <xf numFmtId="3" fontId="7" fillId="0" borderId="42" xfId="0" applyNumberFormat="1" applyFont="1" applyFill="1" applyBorder="1" applyAlignment="1">
      <alignment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45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9" fillId="6" borderId="18" xfId="0" applyNumberFormat="1" applyFont="1" applyFill="1" applyBorder="1" applyAlignment="1">
      <alignment horizontal="center" vertical="center" wrapText="1"/>
    </xf>
    <xf numFmtId="4" fontId="9" fillId="6" borderId="12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9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3" fontId="9" fillId="0" borderId="23" xfId="1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3" fontId="9" fillId="0" borderId="26" xfId="1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9" fontId="7" fillId="0" borderId="14" xfId="1" applyNumberFormat="1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49" fontId="13" fillId="0" borderId="31" xfId="0" applyNumberFormat="1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0" fontId="9" fillId="6" borderId="12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3" fontId="9" fillId="6" borderId="12" xfId="1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9" fillId="6" borderId="14" xfId="1" applyNumberFormat="1" applyFont="1" applyFill="1" applyBorder="1" applyAlignment="1">
      <alignment vertical="center" wrapText="1"/>
    </xf>
    <xf numFmtId="3" fontId="13" fillId="0" borderId="29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right" vertical="center"/>
    </xf>
    <xf numFmtId="3" fontId="7" fillId="0" borderId="45" xfId="0" applyNumberFormat="1" applyFont="1" applyFill="1" applyBorder="1" applyAlignment="1">
      <alignment horizontal="right" vertical="center"/>
    </xf>
    <xf numFmtId="3" fontId="9" fillId="0" borderId="33" xfId="1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 wrapText="1"/>
    </xf>
    <xf numFmtId="3" fontId="13" fillId="0" borderId="46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0" fontId="13" fillId="0" borderId="23" xfId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3" fontId="14" fillId="0" borderId="23" xfId="1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3" fontId="14" fillId="0" borderId="22" xfId="1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9" fillId="6" borderId="6" xfId="1" applyNumberFormat="1" applyFont="1" applyFill="1" applyBorder="1" applyAlignment="1">
      <alignment vertical="center" wrapText="1"/>
    </xf>
    <xf numFmtId="3" fontId="9" fillId="6" borderId="12" xfId="1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14" fillId="0" borderId="14" xfId="1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12" fillId="0" borderId="33" xfId="1" applyNumberFormat="1" applyFont="1" applyFill="1" applyBorder="1" applyAlignment="1">
      <alignment vertical="center" wrapText="1"/>
    </xf>
    <xf numFmtId="3" fontId="12" fillId="0" borderId="26" xfId="1" applyNumberFormat="1" applyFont="1" applyFill="1" applyBorder="1" applyAlignment="1">
      <alignment vertical="center" wrapText="1"/>
    </xf>
    <xf numFmtId="3" fontId="14" fillId="0" borderId="31" xfId="1" applyNumberFormat="1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14" fillId="0" borderId="20" xfId="1" applyNumberFormat="1" applyFont="1" applyFill="1" applyBorder="1" applyAlignment="1">
      <alignment vertical="center" wrapText="1"/>
    </xf>
    <xf numFmtId="3" fontId="13" fillId="0" borderId="33" xfId="1" applyNumberFormat="1" applyFont="1" applyFill="1" applyBorder="1" applyAlignment="1">
      <alignment vertical="center" wrapText="1"/>
    </xf>
    <xf numFmtId="0" fontId="13" fillId="0" borderId="13" xfId="1" applyFont="1" applyFill="1" applyBorder="1" applyAlignment="1">
      <alignment horizontal="center" vertical="center" wrapText="1"/>
    </xf>
    <xf numFmtId="3" fontId="13" fillId="0" borderId="47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vertical="center" wrapText="1"/>
    </xf>
    <xf numFmtId="3" fontId="9" fillId="0" borderId="31" xfId="1" applyNumberFormat="1" applyFont="1" applyFill="1" applyBorder="1" applyAlignment="1">
      <alignment horizontal="right" vertical="center" wrapText="1"/>
    </xf>
    <xf numFmtId="3" fontId="7" fillId="0" borderId="66" xfId="0" applyNumberFormat="1" applyFont="1" applyFill="1" applyBorder="1" applyAlignment="1">
      <alignment vertical="center" wrapText="1"/>
    </xf>
    <xf numFmtId="3" fontId="14" fillId="0" borderId="31" xfId="1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3" fontId="12" fillId="0" borderId="22" xfId="1" applyNumberFormat="1" applyFont="1" applyFill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 wrapText="1"/>
    </xf>
    <xf numFmtId="3" fontId="13" fillId="0" borderId="52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3" fontId="9" fillId="0" borderId="34" xfId="1" applyNumberFormat="1" applyFont="1" applyFill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9" fillId="0" borderId="31" xfId="0" applyNumberFormat="1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3" fontId="13" fillId="0" borderId="32" xfId="0" applyNumberFormat="1" applyFont="1" applyBorder="1" applyAlignment="1">
      <alignment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7" fillId="0" borderId="58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0" fillId="0" borderId="0" xfId="0" applyFont="1"/>
    <xf numFmtId="3" fontId="7" fillId="0" borderId="0" xfId="0" applyNumberFormat="1" applyFont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3" fontId="14" fillId="0" borderId="13" xfId="1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33" fillId="0" borderId="0" xfId="0" applyFont="1"/>
    <xf numFmtId="3" fontId="17" fillId="0" borderId="26" xfId="1" applyNumberFormat="1" applyFont="1" applyFill="1" applyBorder="1" applyAlignment="1">
      <alignment vertical="center" wrapText="1"/>
    </xf>
    <xf numFmtId="3" fontId="12" fillId="0" borderId="31" xfId="1" applyNumberFormat="1" applyFont="1" applyFill="1" applyBorder="1" applyAlignment="1">
      <alignment vertical="center" wrapText="1"/>
    </xf>
    <xf numFmtId="3" fontId="9" fillId="5" borderId="26" xfId="1" applyNumberFormat="1" applyFont="1" applyFill="1" applyBorder="1" applyAlignment="1">
      <alignment vertical="center" wrapText="1"/>
    </xf>
    <xf numFmtId="3" fontId="9" fillId="5" borderId="31" xfId="1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3" fontId="28" fillId="0" borderId="13" xfId="1" applyNumberFormat="1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3" fontId="28" fillId="0" borderId="26" xfId="1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4" fillId="0" borderId="0" xfId="0" applyFont="1"/>
    <xf numFmtId="0" fontId="15" fillId="0" borderId="45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5" fillId="0" borderId="0" xfId="0" applyFont="1"/>
    <xf numFmtId="49" fontId="14" fillId="0" borderId="3" xfId="0" applyNumberFormat="1" applyFont="1" applyFill="1" applyBorder="1" applyAlignment="1">
      <alignment horizontal="center" vertical="center" wrapText="1" shrinkToFit="1"/>
    </xf>
    <xf numFmtId="3" fontId="9" fillId="5" borderId="2" xfId="1" applyNumberFormat="1" applyFont="1" applyFill="1" applyBorder="1" applyAlignment="1">
      <alignment vertical="center" wrapText="1"/>
    </xf>
    <xf numFmtId="0" fontId="32" fillId="0" borderId="0" xfId="0" applyFont="1"/>
    <xf numFmtId="3" fontId="13" fillId="0" borderId="4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4" fillId="0" borderId="9" xfId="1" applyNumberFormat="1" applyFont="1" applyFill="1" applyBorder="1" applyAlignment="1">
      <alignment vertical="center" wrapText="1"/>
    </xf>
    <xf numFmtId="3" fontId="7" fillId="0" borderId="26" xfId="1" applyNumberFormat="1" applyFont="1" applyFill="1" applyBorder="1" applyAlignment="1">
      <alignment vertical="center" wrapText="1"/>
    </xf>
    <xf numFmtId="0" fontId="0" fillId="0" borderId="1" xfId="0" applyBorder="1"/>
    <xf numFmtId="3" fontId="9" fillId="0" borderId="2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 shrinkToFit="1"/>
    </xf>
    <xf numFmtId="3" fontId="13" fillId="0" borderId="15" xfId="0" applyNumberFormat="1" applyFont="1" applyFill="1" applyBorder="1" applyAlignment="1">
      <alignment vertical="center" wrapText="1"/>
    </xf>
    <xf numFmtId="0" fontId="0" fillId="0" borderId="0" xfId="0" applyFill="1"/>
    <xf numFmtId="49" fontId="11" fillId="0" borderId="36" xfId="0" applyNumberFormat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3" fontId="9" fillId="0" borderId="30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" fontId="9" fillId="0" borderId="25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0" borderId="2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17" fillId="0" borderId="23" xfId="1" applyNumberFormat="1" applyFont="1" applyFill="1" applyBorder="1" applyAlignment="1">
      <alignment vertical="center" wrapText="1"/>
    </xf>
    <xf numFmtId="0" fontId="33" fillId="0" borderId="0" xfId="0" applyFont="1" applyFill="1"/>
    <xf numFmtId="3" fontId="9" fillId="5" borderId="23" xfId="1" applyNumberFormat="1" applyFont="1" applyFill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28" fillId="0" borderId="26" xfId="1" applyNumberFormat="1" applyFont="1" applyBorder="1" applyAlignment="1">
      <alignment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 shrinkToFit="1"/>
    </xf>
    <xf numFmtId="0" fontId="15" fillId="0" borderId="33" xfId="1" applyFont="1" applyFill="1" applyBorder="1" applyAlignment="1">
      <alignment horizontal="center" vertical="center" wrapText="1"/>
    </xf>
    <xf numFmtId="3" fontId="28" fillId="0" borderId="33" xfId="1" applyNumberFormat="1" applyFont="1" applyFill="1" applyBorder="1" applyAlignment="1">
      <alignment vertical="center" wrapText="1"/>
    </xf>
    <xf numFmtId="3" fontId="15" fillId="0" borderId="36" xfId="0" applyNumberFormat="1" applyFont="1" applyFill="1" applyBorder="1" applyAlignment="1">
      <alignment vertical="center" wrapText="1"/>
    </xf>
    <xf numFmtId="3" fontId="15" fillId="0" borderId="41" xfId="0" applyNumberFormat="1" applyFont="1" applyFill="1" applyBorder="1" applyAlignment="1">
      <alignment vertical="center" wrapText="1"/>
    </xf>
    <xf numFmtId="3" fontId="28" fillId="0" borderId="34" xfId="0" applyNumberFormat="1" applyFont="1" applyFill="1" applyBorder="1" applyAlignment="1">
      <alignment vertical="center" wrapText="1"/>
    </xf>
    <xf numFmtId="3" fontId="15" fillId="0" borderId="33" xfId="0" applyNumberFormat="1" applyFont="1" applyFill="1" applyBorder="1" applyAlignment="1">
      <alignment vertical="center" wrapText="1"/>
    </xf>
    <xf numFmtId="3" fontId="15" fillId="0" borderId="48" xfId="0" applyNumberFormat="1" applyFont="1" applyFill="1" applyBorder="1" applyAlignment="1">
      <alignment vertical="center" wrapText="1"/>
    </xf>
    <xf numFmtId="3" fontId="15" fillId="0" borderId="35" xfId="0" applyNumberFormat="1" applyFont="1" applyFill="1" applyBorder="1" applyAlignment="1">
      <alignment vertical="center" wrapText="1"/>
    </xf>
    <xf numFmtId="3" fontId="15" fillId="0" borderId="32" xfId="0" applyNumberFormat="1" applyFont="1" applyFill="1" applyBorder="1" applyAlignment="1">
      <alignment horizontal="right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right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26" fillId="0" borderId="23" xfId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vertical="center"/>
    </xf>
    <xf numFmtId="3" fontId="9" fillId="0" borderId="13" xfId="0" applyNumberFormat="1" applyFont="1" applyFill="1" applyBorder="1" applyAlignment="1">
      <alignment vertical="center" wrapText="1"/>
    </xf>
    <xf numFmtId="3" fontId="17" fillId="0" borderId="33" xfId="1" applyNumberFormat="1" applyFont="1" applyFill="1" applyBorder="1" applyAlignment="1">
      <alignment vertical="center" wrapText="1"/>
    </xf>
    <xf numFmtId="3" fontId="15" fillId="0" borderId="46" xfId="0" applyNumberFormat="1" applyFont="1" applyBorder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 wrapText="1"/>
    </xf>
    <xf numFmtId="3" fontId="9" fillId="0" borderId="30" xfId="1" applyNumberFormat="1" applyFont="1" applyFill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3" fontId="9" fillId="5" borderId="25" xfId="1" applyNumberFormat="1" applyFont="1" applyFill="1" applyBorder="1" applyAlignment="1">
      <alignment vertical="center" wrapText="1"/>
    </xf>
    <xf numFmtId="3" fontId="9" fillId="5" borderId="13" xfId="1" applyNumberFormat="1" applyFont="1" applyFill="1" applyBorder="1" applyAlignment="1">
      <alignment vertical="center" wrapText="1"/>
    </xf>
    <xf numFmtId="0" fontId="40" fillId="0" borderId="0" xfId="0" applyFont="1"/>
    <xf numFmtId="0" fontId="8" fillId="0" borderId="14" xfId="0" applyFont="1" applyFill="1" applyBorder="1" applyAlignment="1">
      <alignment horizontal="center" vertical="center"/>
    </xf>
    <xf numFmtId="3" fontId="9" fillId="5" borderId="28" xfId="1" applyNumberFormat="1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right" vertical="center"/>
    </xf>
    <xf numFmtId="49" fontId="7" fillId="0" borderId="31" xfId="1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3" fontId="13" fillId="3" borderId="19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vertical="center" wrapText="1"/>
    </xf>
    <xf numFmtId="3" fontId="13" fillId="0" borderId="43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right" vertical="center"/>
    </xf>
    <xf numFmtId="3" fontId="13" fillId="0" borderId="62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165" fontId="8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9" fillId="6" borderId="12" xfId="0" applyNumberFormat="1" applyFont="1" applyFill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vertical="center" wrapText="1"/>
    </xf>
    <xf numFmtId="3" fontId="9" fillId="5" borderId="14" xfId="1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5" borderId="22" xfId="0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>
      <alignment vertical="center" wrapText="1"/>
    </xf>
    <xf numFmtId="3" fontId="7" fillId="5" borderId="37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3" fontId="12" fillId="0" borderId="37" xfId="1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vertical="center" wrapText="1"/>
    </xf>
    <xf numFmtId="3" fontId="15" fillId="0" borderId="32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28" fillId="0" borderId="23" xfId="1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/>
    </xf>
    <xf numFmtId="3" fontId="9" fillId="2" borderId="23" xfId="1" applyNumberFormat="1" applyFont="1" applyFill="1" applyBorder="1" applyAlignment="1">
      <alignment vertical="center" wrapText="1"/>
    </xf>
    <xf numFmtId="3" fontId="9" fillId="2" borderId="22" xfId="1" applyNumberFormat="1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3" fontId="9" fillId="2" borderId="24" xfId="1" applyNumberFormat="1" applyFont="1" applyFill="1" applyBorder="1" applyAlignment="1">
      <alignment vertical="center" wrapText="1"/>
    </xf>
    <xf numFmtId="3" fontId="7" fillId="2" borderId="37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vertical="center" wrapText="1"/>
    </xf>
    <xf numFmtId="3" fontId="7" fillId="2" borderId="2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vertical="center" wrapText="1"/>
    </xf>
    <xf numFmtId="3" fontId="9" fillId="2" borderId="33" xfId="1" applyNumberFormat="1" applyFont="1" applyFill="1" applyBorder="1" applyAlignment="1">
      <alignment vertical="center" wrapText="1"/>
    </xf>
    <xf numFmtId="3" fontId="7" fillId="2" borderId="25" xfId="0" applyNumberFormat="1" applyFont="1" applyFill="1" applyBorder="1" applyAlignment="1">
      <alignment vertical="center" wrapText="1"/>
    </xf>
    <xf numFmtId="3" fontId="7" fillId="2" borderId="34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3" fontId="9" fillId="2" borderId="32" xfId="1" applyNumberFormat="1" applyFont="1" applyFill="1" applyBorder="1" applyAlignment="1">
      <alignment vertical="center" wrapText="1"/>
    </xf>
    <xf numFmtId="3" fontId="12" fillId="2" borderId="26" xfId="1" applyNumberFormat="1" applyFont="1" applyFill="1" applyBorder="1" applyAlignment="1">
      <alignment vertical="center" wrapText="1"/>
    </xf>
    <xf numFmtId="3" fontId="11" fillId="2" borderId="31" xfId="0" applyNumberFormat="1" applyFont="1" applyFill="1" applyBorder="1" applyAlignment="1">
      <alignment vertical="center" wrapText="1"/>
    </xf>
    <xf numFmtId="3" fontId="11" fillId="2" borderId="37" xfId="0" applyNumberFormat="1" applyFont="1" applyFill="1" applyBorder="1" applyAlignment="1">
      <alignment vertical="center" wrapText="1"/>
    </xf>
    <xf numFmtId="49" fontId="28" fillId="0" borderId="33" xfId="0" applyNumberFormat="1" applyFont="1" applyFill="1" applyBorder="1" applyAlignment="1">
      <alignment horizontal="center" vertical="center" wrapText="1" shrinkToFit="1"/>
    </xf>
    <xf numFmtId="3" fontId="15" fillId="0" borderId="31" xfId="0" applyNumberFormat="1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>
      <alignment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3" fontId="16" fillId="2" borderId="34" xfId="0" applyNumberFormat="1" applyFont="1" applyFill="1" applyBorder="1" applyAlignment="1">
      <alignment vertical="center" wrapText="1"/>
    </xf>
    <xf numFmtId="3" fontId="16" fillId="2" borderId="37" xfId="0" applyNumberFormat="1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vertical="center" wrapText="1"/>
    </xf>
    <xf numFmtId="0" fontId="7" fillId="2" borderId="26" xfId="1" applyFont="1" applyFill="1" applyBorder="1" applyAlignment="1">
      <alignment horizontal="center" vertical="center" wrapText="1"/>
    </xf>
    <xf numFmtId="3" fontId="9" fillId="2" borderId="37" xfId="1" applyNumberFormat="1" applyFont="1" applyFill="1" applyBorder="1" applyAlignment="1">
      <alignment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15" fillId="0" borderId="23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vertical="center" wrapText="1"/>
    </xf>
    <xf numFmtId="3" fontId="9" fillId="2" borderId="45" xfId="1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2" borderId="27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3" fontId="17" fillId="2" borderId="26" xfId="1" applyNumberFormat="1" applyFont="1" applyFill="1" applyBorder="1" applyAlignment="1">
      <alignment vertical="center" wrapText="1"/>
    </xf>
    <xf numFmtId="3" fontId="16" fillId="2" borderId="26" xfId="0" applyNumberFormat="1" applyFont="1" applyFill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3" fontId="16" fillId="2" borderId="37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49" fontId="28" fillId="0" borderId="23" xfId="0" applyNumberFormat="1" applyFont="1" applyFill="1" applyBorder="1" applyAlignment="1">
      <alignment horizontal="center"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horizontal="right" vertical="center"/>
    </xf>
    <xf numFmtId="49" fontId="15" fillId="0" borderId="3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vertical="center"/>
    </xf>
    <xf numFmtId="49" fontId="28" fillId="0" borderId="26" xfId="0" applyNumberFormat="1" applyFont="1" applyFill="1" applyBorder="1" applyAlignment="1">
      <alignment horizontal="center" vertical="center"/>
    </xf>
    <xf numFmtId="3" fontId="7" fillId="5" borderId="37" xfId="0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vertical="center" wrapText="1"/>
    </xf>
    <xf numFmtId="3" fontId="7" fillId="5" borderId="27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 wrapText="1"/>
    </xf>
    <xf numFmtId="0" fontId="29" fillId="2" borderId="26" xfId="0" applyFont="1" applyFill="1" applyBorder="1" applyAlignment="1">
      <alignment horizontal="center" vertical="center" wrapText="1"/>
    </xf>
    <xf numFmtId="3" fontId="14" fillId="2" borderId="26" xfId="1" applyNumberFormat="1" applyFont="1" applyFill="1" applyBorder="1" applyAlignment="1">
      <alignment vertical="center" wrapText="1"/>
    </xf>
    <xf numFmtId="0" fontId="15" fillId="0" borderId="23" xfId="1" applyFont="1" applyFill="1" applyBorder="1" applyAlignment="1">
      <alignment horizontal="center" vertical="center"/>
    </xf>
    <xf numFmtId="3" fontId="28" fillId="0" borderId="23" xfId="1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6" fillId="0" borderId="36" xfId="0" applyNumberFormat="1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center" wrapText="1"/>
    </xf>
    <xf numFmtId="3" fontId="9" fillId="2" borderId="26" xfId="0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13" fillId="0" borderId="24" xfId="1" applyFont="1" applyFill="1" applyBorder="1" applyAlignment="1">
      <alignment horizontal="center" vertical="center" wrapText="1"/>
    </xf>
    <xf numFmtId="3" fontId="13" fillId="3" borderId="27" xfId="0" applyNumberFormat="1" applyFont="1" applyFill="1" applyBorder="1" applyAlignment="1">
      <alignment horizontal="right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3" fontId="9" fillId="2" borderId="19" xfId="1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vertical="center" wrapText="1"/>
    </xf>
    <xf numFmtId="0" fontId="39" fillId="0" borderId="31" xfId="1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  <xf numFmtId="0" fontId="42" fillId="0" borderId="0" xfId="0" applyFont="1"/>
    <xf numFmtId="3" fontId="29" fillId="0" borderId="32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28" fillId="0" borderId="23" xfId="0" applyNumberFormat="1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 shrinkToFit="1"/>
    </xf>
    <xf numFmtId="3" fontId="15" fillId="3" borderId="27" xfId="0" applyNumberFormat="1" applyFont="1" applyFill="1" applyBorder="1" applyAlignment="1">
      <alignment horizontal="right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3" fontId="15" fillId="0" borderId="37" xfId="0" applyNumberFormat="1" applyFont="1" applyBorder="1" applyAlignment="1">
      <alignment vertical="center" wrapText="1"/>
    </xf>
    <xf numFmtId="3" fontId="15" fillId="0" borderId="36" xfId="0" applyNumberFormat="1" applyFont="1" applyFill="1" applyBorder="1" applyAlignment="1">
      <alignment vertical="center"/>
    </xf>
    <xf numFmtId="3" fontId="15" fillId="0" borderId="26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66" xfId="0" applyNumberFormat="1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3" fontId="30" fillId="0" borderId="23" xfId="1" applyNumberFormat="1" applyFont="1" applyFill="1" applyBorder="1" applyAlignment="1">
      <alignment vertical="center" wrapText="1"/>
    </xf>
    <xf numFmtId="0" fontId="43" fillId="0" borderId="0" xfId="0" applyFont="1"/>
    <xf numFmtId="3" fontId="13" fillId="0" borderId="68" xfId="0" applyNumberFormat="1" applyFont="1" applyFill="1" applyBorder="1" applyAlignment="1">
      <alignment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3" fontId="28" fillId="0" borderId="22" xfId="1" applyNumberFormat="1" applyFont="1" applyFill="1" applyBorder="1" applyAlignment="1">
      <alignment vertical="center"/>
    </xf>
    <xf numFmtId="3" fontId="9" fillId="6" borderId="5" xfId="1" applyNumberFormat="1" applyFont="1" applyFill="1" applyBorder="1" applyAlignment="1">
      <alignment vertical="center" wrapText="1"/>
    </xf>
    <xf numFmtId="3" fontId="15" fillId="0" borderId="44" xfId="0" applyNumberFormat="1" applyFont="1" applyFill="1" applyBorder="1" applyAlignment="1">
      <alignment vertical="center" wrapText="1"/>
    </xf>
    <xf numFmtId="3" fontId="7" fillId="5" borderId="23" xfId="0" applyNumberFormat="1" applyFont="1" applyFill="1" applyBorder="1" applyAlignment="1">
      <alignment vertical="center" wrapText="1"/>
    </xf>
    <xf numFmtId="0" fontId="34" fillId="0" borderId="0" xfId="0" applyFont="1" applyFill="1"/>
    <xf numFmtId="3" fontId="28" fillId="0" borderId="22" xfId="1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3" fontId="14" fillId="2" borderId="32" xfId="1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3" fontId="14" fillId="0" borderId="45" xfId="1" applyNumberFormat="1" applyFont="1" applyFill="1" applyBorder="1" applyAlignment="1">
      <alignment vertical="center" wrapText="1"/>
    </xf>
    <xf numFmtId="0" fontId="29" fillId="0" borderId="26" xfId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3" fontId="30" fillId="0" borderId="26" xfId="1" applyNumberFormat="1" applyFont="1" applyFill="1" applyBorder="1" applyAlignment="1">
      <alignment vertical="center"/>
    </xf>
    <xf numFmtId="3" fontId="29" fillId="0" borderId="36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3" fontId="28" fillId="0" borderId="26" xfId="0" applyNumberFormat="1" applyFont="1" applyBorder="1" applyAlignment="1">
      <alignment horizontal="right" vertical="center"/>
    </xf>
    <xf numFmtId="3" fontId="9" fillId="2" borderId="23" xfId="0" applyNumberFormat="1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1" fontId="7" fillId="6" borderId="18" xfId="1" applyNumberFormat="1" applyFont="1" applyFill="1" applyBorder="1" applyAlignment="1">
      <alignment horizontal="center" vertical="center" wrapText="1"/>
    </xf>
    <xf numFmtId="3" fontId="7" fillId="6" borderId="18" xfId="0" applyNumberFormat="1" applyFont="1" applyFill="1" applyBorder="1" applyAlignment="1">
      <alignment horizontal="center" vertical="center" wrapText="1" shrinkToFit="1"/>
    </xf>
    <xf numFmtId="3" fontId="15" fillId="0" borderId="0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 wrapText="1"/>
    </xf>
    <xf numFmtId="49" fontId="9" fillId="6" borderId="12" xfId="1" applyNumberFormat="1" applyFont="1" applyFill="1" applyBorder="1" applyAlignment="1">
      <alignment horizontal="center" vertical="center" wrapText="1"/>
    </xf>
    <xf numFmtId="3" fontId="15" fillId="0" borderId="46" xfId="0" applyNumberFormat="1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vertical="center" wrapText="1"/>
    </xf>
    <xf numFmtId="3" fontId="7" fillId="0" borderId="65" xfId="0" applyNumberFormat="1" applyFont="1" applyFill="1" applyBorder="1" applyAlignment="1">
      <alignment vertical="center" wrapText="1"/>
    </xf>
    <xf numFmtId="3" fontId="13" fillId="0" borderId="56" xfId="0" applyNumberFormat="1" applyFont="1" applyFill="1" applyBorder="1" applyAlignment="1">
      <alignment vertical="center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3" borderId="6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4" fontId="9" fillId="0" borderId="54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49" fontId="28" fillId="0" borderId="24" xfId="0" applyNumberFormat="1" applyFont="1" applyFill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 wrapText="1"/>
    </xf>
    <xf numFmtId="168" fontId="14" fillId="0" borderId="33" xfId="0" applyNumberFormat="1" applyFont="1" applyFill="1" applyBorder="1" applyAlignment="1">
      <alignment horizontal="center" vertical="center" wrapText="1"/>
    </xf>
    <xf numFmtId="168" fontId="14" fillId="0" borderId="33" xfId="0" applyNumberFormat="1" applyFont="1" applyFill="1" applyBorder="1" applyAlignment="1">
      <alignment horizontal="center" vertical="center" wrapText="1" shrinkToFit="1"/>
    </xf>
    <xf numFmtId="168" fontId="9" fillId="0" borderId="33" xfId="0" applyNumberFormat="1" applyFont="1" applyFill="1" applyBorder="1" applyAlignment="1">
      <alignment horizontal="center" vertical="center" wrapText="1"/>
    </xf>
    <xf numFmtId="168" fontId="9" fillId="0" borderId="33" xfId="0" applyNumberFormat="1" applyFont="1" applyFill="1" applyBorder="1" applyAlignment="1">
      <alignment horizontal="center" vertical="center" wrapText="1" shrinkToFit="1"/>
    </xf>
    <xf numFmtId="168" fontId="14" fillId="0" borderId="26" xfId="0" applyNumberFormat="1" applyFont="1" applyFill="1" applyBorder="1" applyAlignment="1">
      <alignment horizontal="center" vertical="center" wrapText="1"/>
    </xf>
    <xf numFmtId="168" fontId="14" fillId="0" borderId="26" xfId="0" applyNumberFormat="1" applyFont="1" applyFill="1" applyBorder="1" applyAlignment="1">
      <alignment horizontal="center" vertical="center" wrapText="1" shrinkToFit="1"/>
    </xf>
    <xf numFmtId="168" fontId="14" fillId="0" borderId="13" xfId="0" applyNumberFormat="1" applyFont="1" applyFill="1" applyBorder="1" applyAlignment="1">
      <alignment horizontal="center" vertical="center" wrapText="1"/>
    </xf>
    <xf numFmtId="168" fontId="9" fillId="0" borderId="26" xfId="0" applyNumberFormat="1" applyFont="1" applyFill="1" applyBorder="1" applyAlignment="1">
      <alignment horizontal="center" vertical="center" wrapText="1"/>
    </xf>
    <xf numFmtId="168" fontId="9" fillId="0" borderId="26" xfId="0" applyNumberFormat="1" applyFont="1" applyFill="1" applyBorder="1" applyAlignment="1">
      <alignment horizontal="center" vertical="center" wrapText="1" shrinkToFi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 shrinkToFit="1"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5" fillId="0" borderId="68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3" fontId="28" fillId="0" borderId="14" xfId="1" applyNumberFormat="1" applyFont="1" applyFill="1" applyBorder="1" applyAlignment="1">
      <alignment vertical="center" wrapText="1"/>
    </xf>
    <xf numFmtId="3" fontId="15" fillId="0" borderId="62" xfId="0" applyNumberFormat="1" applyFont="1" applyFill="1" applyBorder="1" applyAlignment="1">
      <alignment vertical="center" wrapText="1"/>
    </xf>
    <xf numFmtId="0" fontId="15" fillId="0" borderId="22" xfId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right" vertical="center" wrapText="1"/>
    </xf>
    <xf numFmtId="0" fontId="8" fillId="0" borderId="15" xfId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9" fillId="0" borderId="26" xfId="1" applyNumberFormat="1" applyFont="1" applyFill="1" applyBorder="1" applyAlignment="1">
      <alignment horizontal="right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center" wrapText="1"/>
    </xf>
    <xf numFmtId="4" fontId="10" fillId="6" borderId="18" xfId="1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15" fillId="0" borderId="56" xfId="0" applyNumberFormat="1" applyFont="1" applyFill="1" applyBorder="1" applyAlignment="1">
      <alignment vertical="center" wrapText="1"/>
    </xf>
    <xf numFmtId="3" fontId="38" fillId="0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 vertical="center"/>
    </xf>
    <xf numFmtId="49" fontId="7" fillId="5" borderId="26" xfId="0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vertical="center" wrapText="1"/>
    </xf>
    <xf numFmtId="3" fontId="13" fillId="0" borderId="60" xfId="0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 shrinkToFit="1"/>
    </xf>
    <xf numFmtId="49" fontId="16" fillId="0" borderId="26" xfId="0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horizontal="right" vertical="center" wrapText="1"/>
    </xf>
    <xf numFmtId="3" fontId="12" fillId="0" borderId="13" xfId="1" applyNumberFormat="1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vertical="center" wrapText="1"/>
    </xf>
    <xf numFmtId="3" fontId="16" fillId="0" borderId="26" xfId="0" applyNumberFormat="1" applyFont="1" applyFill="1" applyBorder="1" applyAlignment="1">
      <alignment vertical="center" wrapText="1"/>
    </xf>
    <xf numFmtId="0" fontId="16" fillId="0" borderId="26" xfId="1" applyFont="1" applyFill="1" applyBorder="1" applyAlignment="1">
      <alignment horizontal="center" vertical="center" wrapText="1"/>
    </xf>
    <xf numFmtId="3" fontId="12" fillId="2" borderId="31" xfId="1" applyNumberFormat="1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vertical="center" wrapText="1"/>
    </xf>
    <xf numFmtId="3" fontId="15" fillId="0" borderId="47" xfId="0" applyNumberFormat="1" applyFont="1" applyFill="1" applyBorder="1" applyAlignment="1">
      <alignment vertical="center" wrapText="1"/>
    </xf>
    <xf numFmtId="3" fontId="15" fillId="0" borderId="45" xfId="0" applyNumberFormat="1" applyFont="1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 wrapText="1"/>
    </xf>
    <xf numFmtId="0" fontId="8" fillId="0" borderId="14" xfId="1" applyFont="1" applyFill="1" applyBorder="1" applyAlignment="1">
      <alignment horizontal="center" vertical="center" wrapText="1"/>
    </xf>
    <xf numFmtId="3" fontId="9" fillId="6" borderId="14" xfId="1" applyNumberFormat="1" applyFont="1" applyFill="1" applyBorder="1" applyAlignment="1">
      <alignment horizontal="right" vertical="center" wrapText="1"/>
    </xf>
    <xf numFmtId="3" fontId="9" fillId="6" borderId="18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3" fillId="0" borderId="51" xfId="0" applyNumberFormat="1" applyFont="1" applyFill="1" applyBorder="1" applyAlignment="1">
      <alignment vertical="center" wrapText="1"/>
    </xf>
    <xf numFmtId="4" fontId="9" fillId="11" borderId="16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 shrinkToFit="1"/>
    </xf>
    <xf numFmtId="3" fontId="9" fillId="0" borderId="31" xfId="0" applyNumberFormat="1" applyFont="1" applyFill="1" applyBorder="1" applyAlignment="1">
      <alignment horizontal="righ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0" fontId="7" fillId="8" borderId="32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9" fillId="0" borderId="23" xfId="1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4" fontId="9" fillId="11" borderId="3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 wrapText="1"/>
    </xf>
    <xf numFmtId="4" fontId="9" fillId="9" borderId="65" xfId="0" applyNumberFormat="1" applyFont="1" applyFill="1" applyBorder="1" applyAlignment="1">
      <alignment horizontal="center" vertical="center" wrapText="1"/>
    </xf>
    <xf numFmtId="4" fontId="9" fillId="9" borderId="54" xfId="0" applyNumberFormat="1" applyFont="1" applyFill="1" applyBorder="1" applyAlignment="1">
      <alignment horizontal="center" vertical="center" wrapText="1"/>
    </xf>
    <xf numFmtId="4" fontId="9" fillId="9" borderId="16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vertical="center" wrapText="1"/>
    </xf>
    <xf numFmtId="3" fontId="7" fillId="0" borderId="46" xfId="0" applyNumberFormat="1" applyFont="1" applyFill="1" applyBorder="1" applyAlignment="1">
      <alignment vertical="center" wrapText="1"/>
    </xf>
    <xf numFmtId="3" fontId="7" fillId="0" borderId="48" xfId="0" applyNumberFormat="1" applyFont="1" applyFill="1" applyBorder="1" applyAlignment="1">
      <alignment vertical="center" wrapText="1"/>
    </xf>
    <xf numFmtId="3" fontId="7" fillId="0" borderId="61" xfId="0" applyNumberFormat="1" applyFont="1" applyFill="1" applyBorder="1" applyAlignment="1">
      <alignment vertical="center" wrapText="1"/>
    </xf>
    <xf numFmtId="3" fontId="7" fillId="0" borderId="53" xfId="0" applyNumberFormat="1" applyFont="1" applyFill="1" applyBorder="1" applyAlignment="1">
      <alignment vertical="center" wrapText="1"/>
    </xf>
    <xf numFmtId="3" fontId="9" fillId="6" borderId="53" xfId="1" applyNumberFormat="1" applyFont="1" applyFill="1" applyBorder="1" applyAlignment="1">
      <alignment vertical="center" wrapText="1"/>
    </xf>
    <xf numFmtId="3" fontId="9" fillId="6" borderId="54" xfId="1" applyNumberFormat="1" applyFont="1" applyFill="1" applyBorder="1" applyAlignment="1">
      <alignment vertical="center" wrapText="1"/>
    </xf>
    <xf numFmtId="3" fontId="9" fillId="6" borderId="6" xfId="1" applyNumberFormat="1" applyFont="1" applyFill="1" applyBorder="1" applyAlignment="1">
      <alignment horizontal="right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9" fillId="0" borderId="16" xfId="1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7" fillId="0" borderId="14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7" fillId="11" borderId="13" xfId="0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3" fontId="7" fillId="5" borderId="62" xfId="0" applyNumberFormat="1" applyFont="1" applyFill="1" applyBorder="1" applyAlignment="1">
      <alignment vertical="center" wrapText="1"/>
    </xf>
    <xf numFmtId="3" fontId="7" fillId="5" borderId="61" xfId="0" applyNumberFormat="1" applyFont="1" applyFill="1" applyBorder="1" applyAlignment="1">
      <alignment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55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 wrapText="1"/>
    </xf>
    <xf numFmtId="3" fontId="7" fillId="2" borderId="20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vertical="center"/>
    </xf>
    <xf numFmtId="49" fontId="7" fillId="2" borderId="42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vertical="center" wrapText="1"/>
    </xf>
    <xf numFmtId="3" fontId="16" fillId="0" borderId="32" xfId="0" applyNumberFormat="1" applyFont="1" applyFill="1" applyBorder="1" applyAlignment="1">
      <alignment vertical="center" wrapText="1"/>
    </xf>
    <xf numFmtId="3" fontId="16" fillId="0" borderId="32" xfId="0" applyNumberFormat="1" applyFont="1" applyFill="1" applyBorder="1" applyAlignment="1">
      <alignment horizontal="right" vertical="center"/>
    </xf>
    <xf numFmtId="0" fontId="44" fillId="0" borderId="26" xfId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46" fillId="2" borderId="26" xfId="0" applyFont="1" applyFill="1" applyBorder="1" applyAlignment="1">
      <alignment horizontal="center" vertical="center" wrapText="1"/>
    </xf>
    <xf numFmtId="3" fontId="11" fillId="2" borderId="23" xfId="0" applyNumberFormat="1" applyFont="1" applyFill="1" applyBorder="1" applyAlignment="1">
      <alignment vertical="center" wrapText="1"/>
    </xf>
    <xf numFmtId="3" fontId="11" fillId="2" borderId="27" xfId="0" applyNumberFormat="1" applyFont="1" applyFill="1" applyBorder="1" applyAlignment="1">
      <alignment vertical="center" wrapText="1"/>
    </xf>
    <xf numFmtId="3" fontId="11" fillId="2" borderId="46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/>
    </xf>
    <xf numFmtId="3" fontId="9" fillId="2" borderId="13" xfId="1" applyNumberFormat="1" applyFont="1" applyFill="1" applyBorder="1" applyAlignment="1">
      <alignment vertical="center"/>
    </xf>
    <xf numFmtId="3" fontId="9" fillId="2" borderId="30" xfId="1" applyNumberFormat="1" applyFont="1" applyFill="1" applyBorder="1" applyAlignment="1">
      <alignment vertical="center" wrapText="1"/>
    </xf>
    <xf numFmtId="3" fontId="7" fillId="2" borderId="19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3" fontId="7" fillId="2" borderId="56" xfId="0" applyNumberFormat="1" applyFont="1" applyFill="1" applyBorder="1" applyAlignment="1">
      <alignment vertical="center" wrapText="1"/>
    </xf>
    <xf numFmtId="3" fontId="7" fillId="2" borderId="47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9" fillId="5" borderId="23" xfId="0" applyNumberFormat="1" applyFont="1" applyFill="1" applyBorder="1" applyAlignment="1">
      <alignment horizontal="center" vertical="center" wrapText="1" shrinkToFit="1"/>
    </xf>
    <xf numFmtId="0" fontId="8" fillId="5" borderId="24" xfId="0" applyFont="1" applyFill="1" applyBorder="1" applyAlignment="1">
      <alignment horizontal="center" vertical="center" wrapText="1"/>
    </xf>
    <xf numFmtId="3" fontId="7" fillId="5" borderId="21" xfId="0" applyNumberFormat="1" applyFont="1" applyFill="1" applyBorder="1" applyAlignment="1">
      <alignment vertical="center"/>
    </xf>
    <xf numFmtId="3" fontId="7" fillId="5" borderId="27" xfId="0" applyNumberFormat="1" applyFont="1" applyFill="1" applyBorder="1" applyAlignment="1">
      <alignment vertical="center" wrapText="1"/>
    </xf>
    <xf numFmtId="3" fontId="7" fillId="5" borderId="55" xfId="0" applyNumberFormat="1" applyFont="1" applyFill="1" applyBorder="1" applyAlignment="1">
      <alignment vertical="center" wrapText="1"/>
    </xf>
    <xf numFmtId="3" fontId="7" fillId="5" borderId="21" xfId="0" applyNumberFormat="1" applyFont="1" applyFill="1" applyBorder="1" applyAlignment="1">
      <alignment vertical="center" wrapText="1"/>
    </xf>
    <xf numFmtId="3" fontId="7" fillId="5" borderId="24" xfId="0" applyNumberFormat="1" applyFont="1" applyFill="1" applyBorder="1" applyAlignment="1">
      <alignment vertical="center" wrapText="1"/>
    </xf>
    <xf numFmtId="3" fontId="7" fillId="5" borderId="23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vertical="center"/>
    </xf>
    <xf numFmtId="3" fontId="7" fillId="5" borderId="24" xfId="0" applyNumberFormat="1" applyFont="1" applyFill="1" applyBorder="1" applyAlignment="1">
      <alignment horizontal="center" vertical="center"/>
    </xf>
    <xf numFmtId="49" fontId="7" fillId="5" borderId="25" xfId="0" applyNumberFormat="1" applyFont="1" applyFill="1" applyBorder="1" applyAlignment="1">
      <alignment horizontal="center" vertical="center"/>
    </xf>
    <xf numFmtId="49" fontId="7" fillId="5" borderId="23" xfId="0" applyNumberFormat="1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3" fontId="9" fillId="5" borderId="13" xfId="1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3" fontId="7" fillId="5" borderId="32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center" vertical="center" wrapText="1" shrinkToFi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3" fontId="12" fillId="2" borderId="33" xfId="1" applyNumberFormat="1" applyFont="1" applyFill="1" applyBorder="1" applyAlignment="1">
      <alignment vertical="center" wrapText="1"/>
    </xf>
    <xf numFmtId="0" fontId="11" fillId="2" borderId="26" xfId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 shrinkToFit="1"/>
    </xf>
    <xf numFmtId="0" fontId="46" fillId="0" borderId="31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 shrinkToFit="1"/>
    </xf>
    <xf numFmtId="0" fontId="16" fillId="0" borderId="32" xfId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vertical="center" wrapText="1"/>
    </xf>
    <xf numFmtId="49" fontId="17" fillId="2" borderId="26" xfId="0" applyNumberFormat="1" applyFont="1" applyFill="1" applyBorder="1" applyAlignment="1">
      <alignment horizontal="center" vertical="center" wrapText="1" shrinkToFit="1"/>
    </xf>
    <xf numFmtId="0" fontId="16" fillId="2" borderId="26" xfId="1" applyFont="1" applyFill="1" applyBorder="1" applyAlignment="1">
      <alignment horizontal="center" vertical="center" wrapText="1"/>
    </xf>
    <xf numFmtId="3" fontId="16" fillId="2" borderId="20" xfId="0" applyNumberFormat="1" applyFont="1" applyFill="1" applyBorder="1" applyAlignment="1">
      <alignment vertical="center"/>
    </xf>
    <xf numFmtId="3" fontId="16" fillId="2" borderId="46" xfId="0" applyNumberFormat="1" applyFont="1" applyFill="1" applyBorder="1" applyAlignment="1">
      <alignment vertical="center" wrapText="1"/>
    </xf>
    <xf numFmtId="3" fontId="16" fillId="2" borderId="20" xfId="0" applyNumberFormat="1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right" vertical="center"/>
    </xf>
    <xf numFmtId="49" fontId="17" fillId="2" borderId="26" xfId="0" applyNumberFormat="1" applyFont="1" applyFill="1" applyBorder="1" applyAlignment="1">
      <alignment horizontal="center" vertical="center" wrapText="1"/>
    </xf>
    <xf numFmtId="3" fontId="17" fillId="2" borderId="33" xfId="1" applyNumberFormat="1" applyFont="1" applyFill="1" applyBorder="1" applyAlignment="1">
      <alignment vertical="center" wrapText="1"/>
    </xf>
    <xf numFmtId="3" fontId="16" fillId="2" borderId="32" xfId="0" applyNumberFormat="1" applyFont="1" applyFill="1" applyBorder="1" applyAlignment="1">
      <alignment horizontal="right" vertical="center"/>
    </xf>
    <xf numFmtId="3" fontId="16" fillId="2" borderId="26" xfId="0" applyNumberFormat="1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right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vertical="center" wrapText="1"/>
    </xf>
    <xf numFmtId="3" fontId="9" fillId="2" borderId="23" xfId="0" applyNumberFormat="1" applyFont="1" applyFill="1" applyBorder="1" applyAlignment="1">
      <alignment horizontal="right" vertical="center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3" fontId="9" fillId="0" borderId="18" xfId="1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vertical="center" wrapText="1"/>
    </xf>
    <xf numFmtId="3" fontId="7" fillId="2" borderId="62" xfId="0" applyNumberFormat="1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vertical="center" wrapText="1"/>
    </xf>
    <xf numFmtId="3" fontId="7" fillId="5" borderId="36" xfId="0" applyNumberFormat="1" applyFont="1" applyFill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vertical="center" wrapText="1"/>
    </xf>
    <xf numFmtId="3" fontId="14" fillId="2" borderId="37" xfId="1" applyNumberFormat="1" applyFont="1" applyFill="1" applyBorder="1" applyAlignment="1">
      <alignment vertical="center" wrapText="1"/>
    </xf>
    <xf numFmtId="3" fontId="13" fillId="2" borderId="37" xfId="0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vertical="center" wrapText="1"/>
    </xf>
    <xf numFmtId="3" fontId="7" fillId="2" borderId="43" xfId="0" applyNumberFormat="1" applyFont="1" applyFill="1" applyBorder="1" applyAlignment="1">
      <alignment vertical="center" wrapText="1"/>
    </xf>
    <xf numFmtId="3" fontId="7" fillId="2" borderId="48" xfId="0" applyNumberFormat="1" applyFont="1" applyFill="1" applyBorder="1" applyAlignment="1">
      <alignment vertical="center" wrapText="1"/>
    </xf>
    <xf numFmtId="3" fontId="7" fillId="2" borderId="35" xfId="0" applyNumberFormat="1" applyFont="1" applyFill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3" fontId="7" fillId="2" borderId="33" xfId="0" applyNumberFormat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3" fontId="7" fillId="2" borderId="36" xfId="0" applyNumberFormat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right" vertical="center" wrapText="1"/>
    </xf>
    <xf numFmtId="49" fontId="9" fillId="2" borderId="23" xfId="0" applyNumberFormat="1" applyFont="1" applyFill="1" applyBorder="1" applyAlignment="1">
      <alignment horizontal="center" vertical="center" wrapText="1" shrinkToFit="1"/>
    </xf>
    <xf numFmtId="0" fontId="7" fillId="2" borderId="24" xfId="1" applyFont="1" applyFill="1" applyBorder="1" applyAlignment="1">
      <alignment horizontal="center" vertical="center" wrapText="1"/>
    </xf>
    <xf numFmtId="3" fontId="7" fillId="2" borderId="44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8" fillId="0" borderId="20" xfId="1" applyNumberFormat="1" applyFont="1" applyFill="1" applyBorder="1" applyAlignment="1">
      <alignment vertical="center" wrapText="1"/>
    </xf>
    <xf numFmtId="3" fontId="7" fillId="0" borderId="13" xfId="1" applyNumberFormat="1" applyFont="1" applyFill="1" applyBorder="1" applyAlignment="1">
      <alignment vertical="center" wrapText="1"/>
    </xf>
    <xf numFmtId="168" fontId="12" fillId="0" borderId="33" xfId="0" applyNumberFormat="1" applyFont="1" applyFill="1" applyBorder="1" applyAlignment="1">
      <alignment horizontal="center" vertical="center" wrapText="1"/>
    </xf>
    <xf numFmtId="168" fontId="12" fillId="0" borderId="33" xfId="0" applyNumberFormat="1" applyFont="1" applyFill="1" applyBorder="1" applyAlignment="1">
      <alignment horizontal="center" vertical="center" wrapText="1" shrinkToFit="1"/>
    </xf>
    <xf numFmtId="3" fontId="11" fillId="0" borderId="40" xfId="0" applyNumberFormat="1" applyFont="1" applyFill="1" applyBorder="1" applyAlignment="1">
      <alignment vertical="center" wrapText="1"/>
    </xf>
    <xf numFmtId="3" fontId="11" fillId="0" borderId="48" xfId="0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168" fontId="12" fillId="0" borderId="26" xfId="0" applyNumberFormat="1" applyFont="1" applyFill="1" applyBorder="1" applyAlignment="1">
      <alignment horizontal="center" vertical="center" wrapText="1"/>
    </xf>
    <xf numFmtId="168" fontId="12" fillId="0" borderId="26" xfId="0" applyNumberFormat="1" applyFont="1" applyFill="1" applyBorder="1" applyAlignment="1">
      <alignment horizontal="center" vertical="center" wrapText="1" shrinkToFit="1"/>
    </xf>
    <xf numFmtId="3" fontId="11" fillId="0" borderId="31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vertical="center" wrapText="1"/>
    </xf>
    <xf numFmtId="0" fontId="16" fillId="0" borderId="42" xfId="0" applyFont="1" applyFill="1" applyBorder="1" applyAlignment="1">
      <alignment horizontal="center" vertical="center" wrapText="1"/>
    </xf>
    <xf numFmtId="3" fontId="16" fillId="0" borderId="26" xfId="1" applyNumberFormat="1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/>
    </xf>
    <xf numFmtId="3" fontId="7" fillId="2" borderId="37" xfId="1" applyNumberFormat="1" applyFont="1" applyFill="1" applyBorder="1" applyAlignment="1">
      <alignment vertical="center" wrapText="1"/>
    </xf>
    <xf numFmtId="3" fontId="7" fillId="2" borderId="26" xfId="1" applyNumberFormat="1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49" fontId="7" fillId="2" borderId="37" xfId="0" applyNumberFormat="1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 wrapText="1"/>
    </xf>
    <xf numFmtId="3" fontId="7" fillId="5" borderId="59" xfId="0" applyNumberFormat="1" applyFont="1" applyFill="1" applyBorder="1" applyAlignment="1">
      <alignment vertical="center" wrapText="1"/>
    </xf>
    <xf numFmtId="3" fontId="7" fillId="5" borderId="60" xfId="0" applyNumberFormat="1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 wrapText="1"/>
    </xf>
    <xf numFmtId="49" fontId="9" fillId="5" borderId="26" xfId="0" applyNumberFormat="1" applyFont="1" applyFill="1" applyBorder="1" applyAlignment="1">
      <alignment horizontal="center" vertical="center" wrapText="1"/>
    </xf>
    <xf numFmtId="3" fontId="7" fillId="5" borderId="20" xfId="0" applyNumberFormat="1" applyFont="1" applyFill="1" applyBorder="1" applyAlignment="1">
      <alignment vertical="center" wrapText="1"/>
    </xf>
    <xf numFmtId="3" fontId="7" fillId="5" borderId="46" xfId="0" applyNumberFormat="1" applyFont="1" applyFill="1" applyBorder="1" applyAlignment="1">
      <alignment vertical="center" wrapText="1"/>
    </xf>
    <xf numFmtId="3" fontId="7" fillId="5" borderId="31" xfId="0" applyNumberFormat="1" applyFont="1" applyFill="1" applyBorder="1" applyAlignment="1">
      <alignment vertical="center" wrapText="1"/>
    </xf>
    <xf numFmtId="3" fontId="7" fillId="5" borderId="41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vertical="center" wrapText="1"/>
    </xf>
    <xf numFmtId="0" fontId="7" fillId="5" borderId="2" xfId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horizontal="center" vertical="center" wrapText="1" shrinkToFit="1"/>
    </xf>
    <xf numFmtId="0" fontId="8" fillId="5" borderId="37" xfId="1" applyFont="1" applyFill="1" applyBorder="1" applyAlignment="1">
      <alignment horizontal="center" vertical="center" wrapText="1"/>
    </xf>
    <xf numFmtId="49" fontId="7" fillId="5" borderId="31" xfId="0" applyNumberFormat="1" applyFont="1" applyFill="1" applyBorder="1" applyAlignment="1">
      <alignment horizontal="center" vertical="center" wrapText="1"/>
    </xf>
    <xf numFmtId="3" fontId="7" fillId="11" borderId="14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9" fillId="6" borderId="30" xfId="1" applyNumberFormat="1" applyFont="1" applyFill="1" applyBorder="1" applyAlignment="1">
      <alignment vertical="center" wrapText="1"/>
    </xf>
    <xf numFmtId="49" fontId="12" fillId="2" borderId="26" xfId="0" applyNumberFormat="1" applyFont="1" applyFill="1" applyBorder="1" applyAlignment="1">
      <alignment horizontal="center" vertical="center" wrapText="1" shrinkToFit="1"/>
    </xf>
    <xf numFmtId="3" fontId="11" fillId="2" borderId="36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horizontal="right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/>
    </xf>
    <xf numFmtId="3" fontId="16" fillId="2" borderId="36" xfId="0" applyNumberFormat="1" applyFont="1" applyFill="1" applyBorder="1" applyAlignment="1">
      <alignment vertical="center" wrapText="1"/>
    </xf>
    <xf numFmtId="49" fontId="16" fillId="2" borderId="37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68" fontId="9" fillId="2" borderId="3" xfId="0" applyNumberFormat="1" applyFont="1" applyFill="1" applyBorder="1" applyAlignment="1">
      <alignment horizontal="center" vertical="center" wrapText="1"/>
    </xf>
    <xf numFmtId="168" fontId="9" fillId="2" borderId="22" xfId="0" applyNumberFormat="1" applyFont="1" applyFill="1" applyBorder="1" applyAlignment="1">
      <alignment horizontal="center" vertical="center" wrapText="1" shrinkToFit="1"/>
    </xf>
    <xf numFmtId="3" fontId="7" fillId="2" borderId="57" xfId="0" applyNumberFormat="1" applyFont="1" applyFill="1" applyBorder="1" applyAlignment="1">
      <alignment vertical="center" wrapText="1"/>
    </xf>
    <xf numFmtId="3" fontId="7" fillId="2" borderId="49" xfId="0" applyNumberFormat="1" applyFont="1" applyFill="1" applyBorder="1" applyAlignment="1">
      <alignment vertical="center" wrapText="1"/>
    </xf>
    <xf numFmtId="3" fontId="7" fillId="2" borderId="61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horizontal="center" vertical="center" wrapText="1"/>
    </xf>
    <xf numFmtId="168" fontId="9" fillId="2" borderId="33" xfId="0" applyNumberFormat="1" applyFont="1" applyFill="1" applyBorder="1" applyAlignment="1">
      <alignment horizontal="center" vertical="center" wrapText="1" shrinkToFit="1"/>
    </xf>
    <xf numFmtId="0" fontId="7" fillId="2" borderId="33" xfId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 shrinkToFit="1"/>
    </xf>
    <xf numFmtId="3" fontId="7" fillId="0" borderId="30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3" fontId="9" fillId="2" borderId="31" xfId="1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horizontal="center" vertical="center" wrapText="1"/>
    </xf>
    <xf numFmtId="168" fontId="9" fillId="2" borderId="26" xfId="0" applyNumberFormat="1" applyFont="1" applyFill="1" applyBorder="1" applyAlignment="1">
      <alignment horizontal="center" vertical="center" wrapText="1" shrinkToFit="1"/>
    </xf>
    <xf numFmtId="3" fontId="15" fillId="0" borderId="26" xfId="1" applyNumberFormat="1" applyFont="1" applyFill="1" applyBorder="1" applyAlignment="1">
      <alignment vertical="center" wrapText="1"/>
    </xf>
    <xf numFmtId="3" fontId="11" fillId="0" borderId="26" xfId="1" applyNumberFormat="1" applyFont="1" applyFill="1" applyBorder="1" applyAlignment="1">
      <alignment vertical="center" wrapText="1"/>
    </xf>
    <xf numFmtId="3" fontId="7" fillId="2" borderId="13" xfId="1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right" vertical="center"/>
    </xf>
    <xf numFmtId="3" fontId="13" fillId="2" borderId="20" xfId="0" applyNumberFormat="1" applyFont="1" applyFill="1" applyBorder="1" applyAlignment="1">
      <alignment vertical="center" wrapText="1"/>
    </xf>
    <xf numFmtId="3" fontId="13" fillId="2" borderId="46" xfId="0" applyNumberFormat="1" applyFont="1" applyFill="1" applyBorder="1" applyAlignment="1">
      <alignment vertical="center" wrapText="1"/>
    </xf>
    <xf numFmtId="3" fontId="13" fillId="2" borderId="32" xfId="0" applyNumberFormat="1" applyFont="1" applyFill="1" applyBorder="1" applyAlignment="1">
      <alignment vertical="center" wrapText="1"/>
    </xf>
    <xf numFmtId="3" fontId="13" fillId="2" borderId="32" xfId="0" applyNumberFormat="1" applyFont="1" applyFill="1" applyBorder="1" applyAlignment="1">
      <alignment horizontal="right" vertical="center"/>
    </xf>
    <xf numFmtId="3" fontId="13" fillId="2" borderId="26" xfId="0" applyNumberFormat="1" applyFont="1" applyFill="1" applyBorder="1" applyAlignment="1">
      <alignment horizontal="right" vertical="center"/>
    </xf>
    <xf numFmtId="3" fontId="13" fillId="2" borderId="25" xfId="0" applyNumberFormat="1" applyFont="1" applyFill="1" applyBorder="1" applyAlignment="1">
      <alignment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6" fillId="2" borderId="26" xfId="1" applyNumberFormat="1" applyFont="1" applyFill="1" applyBorder="1" applyAlignment="1">
      <alignment vertical="center" wrapText="1"/>
    </xf>
    <xf numFmtId="3" fontId="7" fillId="5" borderId="51" xfId="0" applyNumberFormat="1" applyFont="1" applyFill="1" applyBorder="1" applyAlignment="1">
      <alignment vertical="center" wrapText="1"/>
    </xf>
    <xf numFmtId="3" fontId="17" fillId="2" borderId="23" xfId="1" applyNumberFormat="1" applyFont="1" applyFill="1" applyBorder="1" applyAlignment="1">
      <alignment vertical="center" wrapText="1"/>
    </xf>
    <xf numFmtId="3" fontId="9" fillId="2" borderId="2" xfId="1" applyNumberFormat="1" applyFont="1" applyFill="1" applyBorder="1" applyAlignment="1">
      <alignment vertical="center" wrapText="1"/>
    </xf>
    <xf numFmtId="3" fontId="14" fillId="2" borderId="33" xfId="1" applyNumberFormat="1" applyFont="1" applyFill="1" applyBorder="1" applyAlignment="1">
      <alignment vertical="center" wrapText="1"/>
    </xf>
    <xf numFmtId="3" fontId="12" fillId="2" borderId="23" xfId="1" applyNumberFormat="1" applyFont="1" applyFill="1" applyBorder="1" applyAlignment="1">
      <alignment vertical="center" wrapText="1"/>
    </xf>
    <xf numFmtId="3" fontId="9" fillId="2" borderId="14" xfId="1" applyNumberFormat="1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49" fontId="7" fillId="0" borderId="30" xfId="1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10" fillId="6" borderId="18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23" xfId="0" applyNumberFormat="1" applyFont="1" applyFill="1" applyBorder="1" applyAlignment="1">
      <alignment horizontal="right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3" fontId="7" fillId="0" borderId="57" xfId="0" applyNumberFormat="1" applyFont="1" applyFill="1" applyBorder="1" applyAlignment="1">
      <alignment vertical="center" wrapText="1"/>
    </xf>
    <xf numFmtId="3" fontId="7" fillId="0" borderId="20" xfId="1" applyNumberFormat="1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vertical="center" wrapText="1"/>
    </xf>
    <xf numFmtId="3" fontId="7" fillId="0" borderId="4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3" fontId="9" fillId="6" borderId="12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40" xfId="1" applyNumberFormat="1" applyFont="1" applyFill="1" applyBorder="1" applyAlignment="1">
      <alignment horizontal="right" vertical="center" wrapText="1"/>
    </xf>
    <xf numFmtId="3" fontId="9" fillId="0" borderId="3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37" xfId="1" applyNumberFormat="1" applyFont="1" applyFill="1" applyBorder="1" applyAlignment="1">
      <alignment horizontal="right" vertical="center" wrapText="1"/>
    </xf>
    <xf numFmtId="3" fontId="14" fillId="0" borderId="40" xfId="1" applyNumberFormat="1" applyFont="1" applyFill="1" applyBorder="1" applyAlignment="1">
      <alignment horizontal="right" vertical="center" wrapText="1"/>
    </xf>
    <xf numFmtId="3" fontId="14" fillId="0" borderId="33" xfId="1" applyNumberFormat="1" applyFont="1" applyFill="1" applyBorder="1" applyAlignment="1">
      <alignment horizontal="right" vertical="center" wrapText="1"/>
    </xf>
    <xf numFmtId="3" fontId="14" fillId="0" borderId="37" xfId="1" applyNumberFormat="1" applyFont="1" applyFill="1" applyBorder="1" applyAlignment="1">
      <alignment horizontal="right" vertical="center" wrapText="1"/>
    </xf>
    <xf numFmtId="3" fontId="9" fillId="5" borderId="2" xfId="1" applyNumberFormat="1" applyFont="1" applyFill="1" applyBorder="1" applyAlignment="1">
      <alignment horizontal="right" vertical="center" wrapText="1"/>
    </xf>
    <xf numFmtId="3" fontId="14" fillId="0" borderId="23" xfId="1" applyNumberFormat="1" applyFont="1" applyFill="1" applyBorder="1" applyAlignment="1">
      <alignment horizontal="right" vertical="center" wrapText="1"/>
    </xf>
    <xf numFmtId="3" fontId="14" fillId="0" borderId="14" xfId="1" applyNumberFormat="1" applyFont="1" applyFill="1" applyBorder="1" applyAlignment="1">
      <alignment horizontal="right" vertical="center" wrapText="1"/>
    </xf>
    <xf numFmtId="3" fontId="9" fillId="0" borderId="23" xfId="1" applyNumberFormat="1" applyFont="1" applyFill="1" applyBorder="1" applyAlignment="1">
      <alignment horizontal="right" vertical="center"/>
    </xf>
    <xf numFmtId="3" fontId="7" fillId="3" borderId="27" xfId="0" applyNumberFormat="1" applyFont="1" applyFill="1" applyBorder="1" applyAlignment="1">
      <alignment horizontal="right" vertical="center" wrapText="1"/>
    </xf>
    <xf numFmtId="3" fontId="7" fillId="11" borderId="23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7" fillId="11" borderId="2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3" fontId="7" fillId="3" borderId="37" xfId="0" applyNumberFormat="1" applyFont="1" applyFill="1" applyBorder="1" applyAlignment="1">
      <alignment horizontal="right" vertical="center" wrapText="1"/>
    </xf>
    <xf numFmtId="3" fontId="7" fillId="11" borderId="13" xfId="0" applyNumberFormat="1" applyFont="1" applyFill="1" applyBorder="1" applyAlignment="1">
      <alignment horizontal="right" vertical="center" wrapText="1"/>
    </xf>
    <xf numFmtId="3" fontId="7" fillId="3" borderId="19" xfId="0" applyNumberFormat="1" applyFont="1" applyFill="1" applyBorder="1" applyAlignment="1">
      <alignment horizontal="right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3" fontId="9" fillId="6" borderId="5" xfId="0" applyNumberFormat="1" applyFont="1" applyFill="1" applyBorder="1" applyAlignment="1">
      <alignment horizontal="right" vertical="center" wrapText="1"/>
    </xf>
    <xf numFmtId="3" fontId="7" fillId="5" borderId="23" xfId="0" applyNumberFormat="1" applyFont="1" applyFill="1" applyBorder="1" applyAlignment="1">
      <alignment horizontal="right" vertical="center" wrapText="1"/>
    </xf>
    <xf numFmtId="3" fontId="7" fillId="5" borderId="27" xfId="0" applyNumberFormat="1" applyFont="1" applyFill="1" applyBorder="1" applyAlignment="1">
      <alignment horizontal="righ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6" borderId="14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3" fontId="9" fillId="6" borderId="65" xfId="1" applyNumberFormat="1" applyFont="1" applyFill="1" applyBorder="1" applyAlignment="1">
      <alignment vertical="center" wrapText="1"/>
    </xf>
    <xf numFmtId="3" fontId="9" fillId="6" borderId="66" xfId="1" applyNumberFormat="1" applyFont="1" applyFill="1" applyBorder="1" applyAlignment="1">
      <alignment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horizontal="right" vertical="center" wrapText="1"/>
    </xf>
    <xf numFmtId="3" fontId="14" fillId="0" borderId="45" xfId="0" applyNumberFormat="1" applyFont="1" applyFill="1" applyBorder="1" applyAlignment="1">
      <alignment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vertical="center" wrapText="1"/>
    </xf>
    <xf numFmtId="3" fontId="14" fillId="0" borderId="9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wrapText="1"/>
    </xf>
    <xf numFmtId="3" fontId="13" fillId="0" borderId="27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>
      <alignment vertical="center" wrapText="1"/>
    </xf>
    <xf numFmtId="3" fontId="7" fillId="0" borderId="46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 wrapText="1"/>
    </xf>
    <xf numFmtId="3" fontId="9" fillId="6" borderId="30" xfId="1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3" fontId="14" fillId="0" borderId="47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9" fillId="0" borderId="66" xfId="0" applyNumberFormat="1" applyFont="1" applyFill="1" applyBorder="1" applyAlignment="1">
      <alignment horizontal="center" vertical="center" wrapText="1"/>
    </xf>
    <xf numFmtId="3" fontId="13" fillId="11" borderId="23" xfId="0" applyNumberFormat="1" applyFont="1" applyFill="1" applyBorder="1" applyAlignment="1">
      <alignment horizontal="right" vertical="center" wrapText="1"/>
    </xf>
    <xf numFmtId="3" fontId="14" fillId="0" borderId="60" xfId="0" applyNumberFormat="1" applyFont="1" applyFill="1" applyBorder="1" applyAlignment="1">
      <alignment vertical="center" wrapText="1"/>
    </xf>
    <xf numFmtId="3" fontId="16" fillId="11" borderId="26" xfId="0" applyNumberFormat="1" applyFont="1" applyFill="1" applyBorder="1" applyAlignment="1">
      <alignment horizontal="right" vertical="center" wrapText="1"/>
    </xf>
    <xf numFmtId="3" fontId="16" fillId="3" borderId="37" xfId="0" applyNumberFormat="1" applyFont="1" applyFill="1" applyBorder="1" applyAlignment="1">
      <alignment horizontal="right" vertical="center" wrapText="1"/>
    </xf>
    <xf numFmtId="0" fontId="40" fillId="5" borderId="24" xfId="0" applyFont="1" applyFill="1" applyBorder="1" applyAlignment="1">
      <alignment horizontal="center" wrapText="1"/>
    </xf>
    <xf numFmtId="0" fontId="8" fillId="5" borderId="27" xfId="1" applyFont="1" applyFill="1" applyBorder="1" applyAlignment="1">
      <alignment horizontal="center" vertical="center" wrapText="1"/>
    </xf>
    <xf numFmtId="3" fontId="9" fillId="5" borderId="27" xfId="1" applyNumberFormat="1" applyFont="1" applyFill="1" applyBorder="1" applyAlignment="1">
      <alignment horizontal="right" vertical="center" wrapText="1"/>
    </xf>
    <xf numFmtId="3" fontId="9" fillId="5" borderId="23" xfId="1" applyNumberFormat="1" applyFont="1" applyFill="1" applyBorder="1" applyAlignment="1">
      <alignment horizontal="right" vertical="center" wrapText="1"/>
    </xf>
    <xf numFmtId="3" fontId="7" fillId="5" borderId="25" xfId="0" applyNumberFormat="1" applyFont="1" applyFill="1" applyBorder="1" applyAlignment="1">
      <alignment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0" fontId="40" fillId="5" borderId="32" xfId="0" applyFont="1" applyFill="1" applyBorder="1" applyAlignment="1">
      <alignment horizontal="center" wrapText="1"/>
    </xf>
    <xf numFmtId="3" fontId="9" fillId="5" borderId="37" xfId="1" applyNumberFormat="1" applyFont="1" applyFill="1" applyBorder="1" applyAlignment="1">
      <alignment horizontal="right" vertical="center" wrapText="1"/>
    </xf>
    <xf numFmtId="3" fontId="9" fillId="5" borderId="26" xfId="1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3" fontId="7" fillId="5" borderId="37" xfId="0" applyNumberFormat="1" applyFont="1" applyFill="1" applyBorder="1" applyAlignment="1">
      <alignment horizontal="right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3" fontId="18" fillId="5" borderId="37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right" vertical="center" wrapText="1"/>
    </xf>
    <xf numFmtId="0" fontId="24" fillId="2" borderId="5" xfId="0" applyFont="1" applyFill="1" applyBorder="1" applyAlignment="1">
      <alignment vertical="center"/>
    </xf>
    <xf numFmtId="0" fontId="0" fillId="2" borderId="0" xfId="0" applyFill="1"/>
    <xf numFmtId="0" fontId="24" fillId="2" borderId="12" xfId="0" applyFont="1" applyFill="1" applyBorder="1" applyAlignment="1">
      <alignment vertical="center"/>
    </xf>
    <xf numFmtId="3" fontId="24" fillId="2" borderId="5" xfId="0" applyNumberFormat="1" applyFont="1" applyFill="1" applyBorder="1" applyAlignment="1">
      <alignment vertical="center"/>
    </xf>
    <xf numFmtId="0" fontId="24" fillId="2" borderId="5" xfId="0" applyFont="1" applyFill="1" applyBorder="1" applyAlignment="1">
      <alignment horizontal="right" vertical="center"/>
    </xf>
    <xf numFmtId="1" fontId="7" fillId="11" borderId="23" xfId="0" applyNumberFormat="1" applyFont="1" applyFill="1" applyBorder="1" applyAlignment="1">
      <alignment horizontal="right" vertical="center" wrapText="1"/>
    </xf>
    <xf numFmtId="1" fontId="7" fillId="3" borderId="27" xfId="0" applyNumberFormat="1" applyFont="1" applyFill="1" applyBorder="1" applyAlignment="1">
      <alignment horizontal="right" vertical="center" wrapText="1"/>
    </xf>
    <xf numFmtId="1" fontId="7" fillId="11" borderId="26" xfId="0" applyNumberFormat="1" applyFont="1" applyFill="1" applyBorder="1" applyAlignment="1">
      <alignment horizontal="right" vertical="center" wrapText="1"/>
    </xf>
    <xf numFmtId="1" fontId="7" fillId="3" borderId="37" xfId="0" applyNumberFormat="1" applyFont="1" applyFill="1" applyBorder="1" applyAlignment="1">
      <alignment horizontal="right" vertical="center" wrapText="1"/>
    </xf>
    <xf numFmtId="1" fontId="13" fillId="11" borderId="26" xfId="0" applyNumberFormat="1" applyFont="1" applyFill="1" applyBorder="1" applyAlignment="1">
      <alignment horizontal="right" vertical="center" wrapText="1"/>
    </xf>
    <xf numFmtId="1" fontId="13" fillId="3" borderId="37" xfId="0" applyNumberFormat="1" applyFont="1" applyFill="1" applyBorder="1" applyAlignment="1">
      <alignment horizontal="right" vertical="center" wrapText="1"/>
    </xf>
    <xf numFmtId="49" fontId="30" fillId="0" borderId="23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0" fontId="41" fillId="0" borderId="26" xfId="1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vertical="center"/>
    </xf>
    <xf numFmtId="1" fontId="29" fillId="3" borderId="37" xfId="0" applyNumberFormat="1" applyFont="1" applyFill="1" applyBorder="1" applyAlignment="1">
      <alignment horizontal="right" vertical="center" wrapText="1"/>
    </xf>
    <xf numFmtId="1" fontId="29" fillId="11" borderId="26" xfId="0" applyNumberFormat="1" applyFont="1" applyFill="1" applyBorder="1" applyAlignment="1">
      <alignment horizontal="right" vertical="center" wrapText="1"/>
    </xf>
    <xf numFmtId="3" fontId="29" fillId="0" borderId="46" xfId="0" applyNumberFormat="1" applyFont="1" applyFill="1" applyBorder="1" applyAlignment="1">
      <alignment vertical="center" wrapText="1"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32" xfId="0" applyNumberFormat="1" applyFont="1" applyFill="1" applyBorder="1" applyAlignment="1">
      <alignment vertical="center"/>
    </xf>
    <xf numFmtId="3" fontId="29" fillId="0" borderId="32" xfId="0" applyNumberFormat="1" applyFont="1" applyFill="1" applyBorder="1" applyAlignment="1">
      <alignment horizontal="right" vertical="center"/>
    </xf>
    <xf numFmtId="49" fontId="29" fillId="0" borderId="42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1" fontId="7" fillId="11" borderId="13" xfId="0" applyNumberFormat="1" applyFont="1" applyFill="1" applyBorder="1" applyAlignment="1">
      <alignment horizontal="right" vertical="center" wrapText="1"/>
    </xf>
    <xf numFmtId="1" fontId="7" fillId="3" borderId="19" xfId="0" applyNumberFormat="1" applyFont="1" applyFill="1" applyBorder="1" applyAlignment="1">
      <alignment horizontal="right" vertical="center" wrapText="1"/>
    </xf>
    <xf numFmtId="0" fontId="41" fillId="0" borderId="32" xfId="0" applyFont="1" applyFill="1" applyBorder="1" applyAlignment="1">
      <alignment horizontal="center" vertical="center" wrapText="1"/>
    </xf>
    <xf numFmtId="3" fontId="30" fillId="0" borderId="23" xfId="1" applyNumberFormat="1" applyFont="1" applyFill="1" applyBorder="1" applyAlignment="1">
      <alignment vertical="center"/>
    </xf>
    <xf numFmtId="3" fontId="29" fillId="0" borderId="46" xfId="0" applyNumberFormat="1" applyFont="1" applyFill="1" applyBorder="1" applyAlignment="1">
      <alignment vertical="center"/>
    </xf>
    <xf numFmtId="3" fontId="29" fillId="0" borderId="20" xfId="0" applyNumberFormat="1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32" xfId="0" applyNumberFormat="1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3" fontId="9" fillId="5" borderId="23" xfId="0" applyNumberFormat="1" applyFont="1" applyFill="1" applyBorder="1" applyAlignment="1">
      <alignment horizontal="right" vertical="center"/>
    </xf>
    <xf numFmtId="3" fontId="7" fillId="5" borderId="55" xfId="0" applyNumberFormat="1" applyFont="1" applyFill="1" applyBorder="1" applyAlignment="1">
      <alignment horizontal="right" vertical="center"/>
    </xf>
    <xf numFmtId="3" fontId="7" fillId="5" borderId="27" xfId="0" applyNumberFormat="1" applyFont="1" applyFill="1" applyBorder="1" applyAlignment="1">
      <alignment horizontal="right" vertical="center"/>
    </xf>
    <xf numFmtId="3" fontId="7" fillId="5" borderId="21" xfId="0" applyNumberFormat="1" applyFont="1" applyFill="1" applyBorder="1" applyAlignment="1">
      <alignment horizontal="right" vertical="center"/>
    </xf>
    <xf numFmtId="1" fontId="7" fillId="5" borderId="23" xfId="0" applyNumberFormat="1" applyFont="1" applyFill="1" applyBorder="1" applyAlignment="1">
      <alignment horizontal="right" vertical="center" wrapText="1"/>
    </xf>
    <xf numFmtId="1" fontId="7" fillId="5" borderId="27" xfId="0" applyNumberFormat="1" applyFont="1" applyFill="1" applyBorder="1" applyAlignment="1">
      <alignment horizontal="right" vertical="center" wrapText="1"/>
    </xf>
    <xf numFmtId="3" fontId="30" fillId="0" borderId="25" xfId="1" applyNumberFormat="1" applyFont="1" applyFill="1" applyBorder="1" applyAlignment="1">
      <alignment horizontal="right" vertical="center" wrapText="1"/>
    </xf>
    <xf numFmtId="3" fontId="9" fillId="0" borderId="30" xfId="1" applyNumberFormat="1" applyFont="1" applyFill="1" applyBorder="1" applyAlignment="1">
      <alignment horizontal="right" vertical="center" wrapText="1"/>
    </xf>
    <xf numFmtId="3" fontId="9" fillId="0" borderId="28" xfId="1" applyNumberFormat="1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0" fontId="11" fillId="0" borderId="13" xfId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1" fontId="11" fillId="11" borderId="13" xfId="0" applyNumberFormat="1" applyFont="1" applyFill="1" applyBorder="1" applyAlignment="1">
      <alignment horizontal="right" vertical="center" wrapText="1"/>
    </xf>
    <xf numFmtId="1" fontId="11" fillId="3" borderId="1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3" fontId="13" fillId="11" borderId="13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40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3" fontId="7" fillId="0" borderId="64" xfId="0" applyNumberFormat="1" applyFont="1" applyFill="1" applyBorder="1" applyAlignment="1">
      <alignment vertical="center" wrapText="1"/>
    </xf>
    <xf numFmtId="3" fontId="7" fillId="0" borderId="67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horizontal="right"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3" fontId="11" fillId="11" borderId="13" xfId="0" applyNumberFormat="1" applyFont="1" applyFill="1" applyBorder="1" applyAlignment="1">
      <alignment horizontal="right" vertical="center" wrapText="1"/>
    </xf>
    <xf numFmtId="3" fontId="11" fillId="3" borderId="19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3" fontId="12" fillId="0" borderId="45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vertical="center" wrapText="1"/>
    </xf>
    <xf numFmtId="3" fontId="7" fillId="5" borderId="65" xfId="0" applyNumberFormat="1" applyFont="1" applyFill="1" applyBorder="1" applyAlignment="1">
      <alignment vertical="center" wrapText="1"/>
    </xf>
    <xf numFmtId="3" fontId="7" fillId="5" borderId="66" xfId="0" applyNumberFormat="1" applyFont="1" applyFill="1" applyBorder="1" applyAlignment="1">
      <alignment vertical="center" wrapText="1"/>
    </xf>
    <xf numFmtId="3" fontId="7" fillId="5" borderId="14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3" fontId="28" fillId="0" borderId="3" xfId="1" applyNumberFormat="1" applyFont="1" applyFill="1" applyBorder="1" applyAlignment="1">
      <alignment vertical="center" wrapText="1"/>
    </xf>
    <xf numFmtId="3" fontId="28" fillId="0" borderId="22" xfId="1" applyNumberFormat="1" applyFont="1" applyFill="1" applyBorder="1" applyAlignment="1">
      <alignment horizontal="right" vertical="center" wrapText="1"/>
    </xf>
    <xf numFmtId="3" fontId="15" fillId="0" borderId="61" xfId="0" applyNumberFormat="1" applyFont="1" applyFill="1" applyBorder="1" applyAlignment="1">
      <alignment vertical="center" wrapText="1"/>
    </xf>
    <xf numFmtId="3" fontId="15" fillId="11" borderId="23" xfId="0" applyNumberFormat="1" applyFont="1" applyFill="1" applyBorder="1" applyAlignment="1">
      <alignment horizontal="right" vertical="center" wrapText="1"/>
    </xf>
    <xf numFmtId="3" fontId="28" fillId="0" borderId="22" xfId="0" applyNumberFormat="1" applyFont="1" applyFill="1" applyBorder="1" applyAlignment="1">
      <alignment vertical="center" wrapText="1"/>
    </xf>
    <xf numFmtId="3" fontId="15" fillId="0" borderId="28" xfId="0" applyNumberFormat="1" applyFont="1" applyFill="1" applyBorder="1" applyAlignment="1">
      <alignment vertical="center" wrapText="1"/>
    </xf>
    <xf numFmtId="3" fontId="28" fillId="0" borderId="29" xfId="0" applyNumberFormat="1" applyFont="1" applyFill="1" applyBorder="1" applyAlignment="1">
      <alignment vertical="center" wrapText="1"/>
    </xf>
    <xf numFmtId="3" fontId="17" fillId="0" borderId="22" xfId="1" applyNumberFormat="1" applyFont="1" applyFill="1" applyBorder="1" applyAlignment="1">
      <alignment horizontal="right" vertical="center" wrapText="1"/>
    </xf>
    <xf numFmtId="0" fontId="7" fillId="2" borderId="37" xfId="1" applyFont="1" applyFill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vertical="center" wrapText="1"/>
    </xf>
    <xf numFmtId="3" fontId="9" fillId="2" borderId="20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3" fontId="9" fillId="2" borderId="19" xfId="1" applyNumberFormat="1" applyFont="1" applyFill="1" applyBorder="1" applyAlignment="1">
      <alignment horizontal="right" vertical="center" wrapText="1"/>
    </xf>
    <xf numFmtId="3" fontId="9" fillId="2" borderId="13" xfId="1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9" fillId="2" borderId="13" xfId="0" applyNumberFormat="1" applyFont="1" applyFill="1" applyBorder="1" applyAlignment="1">
      <alignment vertical="center" wrapText="1"/>
    </xf>
    <xf numFmtId="3" fontId="9" fillId="2" borderId="45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 shrinkToFi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9" fillId="2" borderId="24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 wrapText="1" shrinkToFit="1"/>
    </xf>
    <xf numFmtId="3" fontId="9" fillId="2" borderId="14" xfId="1" applyNumberFormat="1" applyFont="1" applyFill="1" applyBorder="1" applyAlignment="1">
      <alignment horizontal="right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6" fillId="2" borderId="33" xfId="1" applyFont="1" applyFill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3" fontId="11" fillId="2" borderId="37" xfId="0" applyNumberFormat="1" applyFont="1" applyFill="1" applyBorder="1" applyAlignment="1">
      <alignment horizontal="right" vertical="center" wrapText="1"/>
    </xf>
    <xf numFmtId="3" fontId="11" fillId="2" borderId="42" xfId="0" applyNumberFormat="1" applyFont="1" applyFill="1" applyBorder="1" applyAlignment="1">
      <alignment vertical="center" wrapText="1"/>
    </xf>
    <xf numFmtId="3" fontId="12" fillId="2" borderId="20" xfId="0" applyNumberFormat="1" applyFont="1" applyFill="1" applyBorder="1" applyAlignment="1">
      <alignment vertical="center" wrapText="1"/>
    </xf>
    <xf numFmtId="3" fontId="11" fillId="2" borderId="41" xfId="0" applyNumberFormat="1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39" fillId="0" borderId="22" xfId="1" applyFont="1" applyFill="1" applyBorder="1" applyAlignment="1">
      <alignment horizontal="center" vertical="center" wrapText="1"/>
    </xf>
    <xf numFmtId="1" fontId="15" fillId="11" borderId="26" xfId="0" applyNumberFormat="1" applyFont="1" applyFill="1" applyBorder="1" applyAlignment="1">
      <alignment horizontal="right" vertical="center" wrapText="1"/>
    </xf>
    <xf numFmtId="1" fontId="15" fillId="3" borderId="37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" fontId="7" fillId="2" borderId="37" xfId="0" applyNumberFormat="1" applyFont="1" applyFill="1" applyBorder="1" applyAlignment="1">
      <alignment horizontal="right" vertical="center" wrapText="1"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44" fillId="2" borderId="26" xfId="1" applyFont="1" applyFill="1" applyBorder="1" applyAlignment="1">
      <alignment horizontal="center" vertical="center" wrapText="1"/>
    </xf>
    <xf numFmtId="3" fontId="17" fillId="2" borderId="26" xfId="1" applyNumberFormat="1" applyFont="1" applyFill="1" applyBorder="1" applyAlignment="1">
      <alignment vertical="center"/>
    </xf>
    <xf numFmtId="3" fontId="16" fillId="2" borderId="46" xfId="0" applyNumberFormat="1" applyFont="1" applyFill="1" applyBorder="1" applyAlignment="1">
      <alignment vertical="center"/>
    </xf>
    <xf numFmtId="1" fontId="16" fillId="2" borderId="26" xfId="0" applyNumberFormat="1" applyFont="1" applyFill="1" applyBorder="1" applyAlignment="1">
      <alignment horizontal="right" vertical="center" wrapText="1"/>
    </xf>
    <xf numFmtId="1" fontId="16" fillId="2" borderId="37" xfId="0" applyNumberFormat="1" applyFont="1" applyFill="1" applyBorder="1" applyAlignment="1">
      <alignment horizontal="right" vertical="center" wrapText="1"/>
    </xf>
    <xf numFmtId="3" fontId="7" fillId="2" borderId="41" xfId="0" applyNumberFormat="1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3" fontId="7" fillId="2" borderId="56" xfId="0" applyNumberFormat="1" applyFont="1" applyFill="1" applyBorder="1" applyAlignment="1">
      <alignment vertical="center"/>
    </xf>
    <xf numFmtId="1" fontId="7" fillId="2" borderId="13" xfId="0" applyNumberFormat="1" applyFont="1" applyFill="1" applyBorder="1" applyAlignment="1">
      <alignment horizontal="right" vertical="center" wrapText="1"/>
    </xf>
    <xf numFmtId="1" fontId="7" fillId="2" borderId="19" xfId="0" applyNumberFormat="1" applyFont="1" applyFill="1" applyBorder="1" applyAlignment="1">
      <alignment horizontal="right" vertical="center" wrapText="1"/>
    </xf>
    <xf numFmtId="0" fontId="39" fillId="0" borderId="23" xfId="0" applyFont="1" applyFill="1" applyBorder="1" applyAlignment="1">
      <alignment horizontal="center" wrapText="1"/>
    </xf>
    <xf numFmtId="3" fontId="17" fillId="0" borderId="23" xfId="1" applyNumberFormat="1" applyFont="1" applyFill="1" applyBorder="1" applyAlignment="1">
      <alignment horizontal="right" vertical="center" wrapText="1"/>
    </xf>
    <xf numFmtId="1" fontId="15" fillId="11" borderId="23" xfId="0" applyNumberFormat="1" applyFont="1" applyFill="1" applyBorder="1" applyAlignment="1">
      <alignment horizontal="right" vertical="center" wrapText="1"/>
    </xf>
    <xf numFmtId="1" fontId="15" fillId="3" borderId="27" xfId="0" applyNumberFormat="1" applyFont="1" applyFill="1" applyBorder="1" applyAlignment="1">
      <alignment horizontal="right" vertical="center" wrapText="1"/>
    </xf>
    <xf numFmtId="3" fontId="15" fillId="0" borderId="2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vertical="center" wrapText="1"/>
    </xf>
    <xf numFmtId="3" fontId="7" fillId="2" borderId="66" xfId="0" applyNumberFormat="1" applyFont="1" applyFill="1" applyBorder="1" applyAlignment="1">
      <alignment vertical="center" wrapText="1"/>
    </xf>
    <xf numFmtId="1" fontId="7" fillId="2" borderId="14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3" fontId="7" fillId="2" borderId="16" xfId="0" applyNumberFormat="1" applyFont="1" applyFill="1" applyBorder="1" applyAlignment="1">
      <alignment vertical="center" wrapText="1"/>
    </xf>
    <xf numFmtId="3" fontId="7" fillId="5" borderId="59" xfId="0" applyNumberFormat="1" applyFont="1" applyFill="1" applyBorder="1" applyAlignment="1">
      <alignment horizontal="right" vertical="center"/>
    </xf>
    <xf numFmtId="3" fontId="7" fillId="5" borderId="8" xfId="0" applyNumberFormat="1" applyFont="1" applyFill="1" applyBorder="1" applyAlignment="1">
      <alignment horizontal="right" vertical="center"/>
    </xf>
    <xf numFmtId="3" fontId="7" fillId="5" borderId="60" xfId="0" applyNumberFormat="1" applyFont="1" applyFill="1" applyBorder="1" applyAlignment="1">
      <alignment horizontal="right" vertical="center"/>
    </xf>
    <xf numFmtId="1" fontId="7" fillId="5" borderId="2" xfId="0" applyNumberFormat="1" applyFont="1" applyFill="1" applyBorder="1" applyAlignment="1">
      <alignment horizontal="right" vertical="center" wrapText="1"/>
    </xf>
    <xf numFmtId="1" fontId="7" fillId="5" borderId="9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3" fontId="7" fillId="2" borderId="55" xfId="0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horizontal="center" vertical="center" wrapText="1"/>
    </xf>
    <xf numFmtId="3" fontId="9" fillId="0" borderId="45" xfId="1" applyNumberFormat="1" applyFont="1" applyFill="1" applyBorder="1" applyAlignment="1">
      <alignment horizontal="right" vertical="center" wrapText="1"/>
    </xf>
    <xf numFmtId="3" fontId="9" fillId="2" borderId="40" xfId="1" applyNumberFormat="1" applyFont="1" applyFill="1" applyBorder="1" applyAlignment="1">
      <alignment horizontal="right" vertical="center" wrapText="1"/>
    </xf>
    <xf numFmtId="3" fontId="9" fillId="2" borderId="33" xfId="1" applyNumberFormat="1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center" vertical="center" wrapText="1"/>
    </xf>
    <xf numFmtId="3" fontId="28" fillId="0" borderId="40" xfId="1" applyNumberFormat="1" applyFont="1" applyFill="1" applyBorder="1" applyAlignment="1">
      <alignment horizontal="right" vertical="center" wrapText="1"/>
    </xf>
    <xf numFmtId="3" fontId="28" fillId="0" borderId="33" xfId="1" applyNumberFormat="1" applyFont="1" applyFill="1" applyBorder="1" applyAlignment="1">
      <alignment horizontal="right" vertical="center" wrapText="1"/>
    </xf>
    <xf numFmtId="3" fontId="15" fillId="11" borderId="26" xfId="0" applyNumberFormat="1" applyFont="1" applyFill="1" applyBorder="1" applyAlignment="1">
      <alignment horizontal="right" vertical="center" wrapText="1"/>
    </xf>
    <xf numFmtId="3" fontId="12" fillId="0" borderId="40" xfId="1" applyNumberFormat="1" applyFont="1" applyFill="1" applyBorder="1" applyAlignment="1">
      <alignment horizontal="right" vertical="center" wrapText="1"/>
    </xf>
    <xf numFmtId="3" fontId="12" fillId="0" borderId="33" xfId="1" applyNumberFormat="1" applyFont="1" applyFill="1" applyBorder="1" applyAlignment="1">
      <alignment horizontal="right" vertical="center" wrapText="1"/>
    </xf>
    <xf numFmtId="3" fontId="11" fillId="11" borderId="26" xfId="0" applyNumberFormat="1" applyFont="1" applyFill="1" applyBorder="1" applyAlignment="1">
      <alignment horizontal="right" vertical="center" wrapText="1"/>
    </xf>
    <xf numFmtId="3" fontId="11" fillId="3" borderId="37" xfId="0" applyNumberFormat="1" applyFont="1" applyFill="1" applyBorder="1" applyAlignment="1">
      <alignment horizontal="right"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3" fillId="11" borderId="2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3" fontId="9" fillId="2" borderId="37" xfId="1" applyNumberFormat="1" applyFont="1" applyFill="1" applyBorder="1" applyAlignment="1">
      <alignment horizontal="right" vertical="center" wrapText="1"/>
    </xf>
    <xf numFmtId="3" fontId="9" fillId="2" borderId="26" xfId="1" applyNumberFormat="1" applyFont="1" applyFill="1" applyBorder="1" applyAlignment="1">
      <alignment horizontal="right" vertical="center" wrapText="1"/>
    </xf>
    <xf numFmtId="168" fontId="17" fillId="2" borderId="33" xfId="0" applyNumberFormat="1" applyFont="1" applyFill="1" applyBorder="1" applyAlignment="1">
      <alignment horizontal="center" vertical="center" wrapText="1"/>
    </xf>
    <xf numFmtId="168" fontId="17" fillId="2" borderId="33" xfId="0" applyNumberFormat="1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/>
    </xf>
    <xf numFmtId="3" fontId="17" fillId="2" borderId="26" xfId="1" applyNumberFormat="1" applyFont="1" applyFill="1" applyBorder="1" applyAlignment="1">
      <alignment horizontal="right" vertical="center" wrapText="1"/>
    </xf>
    <xf numFmtId="3" fontId="17" fillId="2" borderId="40" xfId="1" applyNumberFormat="1" applyFont="1" applyFill="1" applyBorder="1" applyAlignment="1">
      <alignment horizontal="right" vertical="center" wrapText="1"/>
    </xf>
    <xf numFmtId="3" fontId="17" fillId="2" borderId="33" xfId="1" applyNumberFormat="1" applyFont="1" applyFill="1" applyBorder="1" applyAlignment="1">
      <alignment horizontal="right" vertical="center" wrapText="1"/>
    </xf>
    <xf numFmtId="3" fontId="16" fillId="2" borderId="26" xfId="0" applyNumberFormat="1" applyFont="1" applyFill="1" applyBorder="1" applyAlignment="1">
      <alignment horizontal="right"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3" fontId="16" fillId="2" borderId="48" xfId="0" applyNumberFormat="1" applyFont="1" applyFill="1" applyBorder="1" applyAlignment="1">
      <alignment vertical="center" wrapText="1"/>
    </xf>
    <xf numFmtId="3" fontId="16" fillId="2" borderId="43" xfId="0" applyNumberFormat="1" applyFont="1" applyFill="1" applyBorder="1" applyAlignment="1">
      <alignment vertical="center" wrapText="1"/>
    </xf>
    <xf numFmtId="3" fontId="16" fillId="2" borderId="40" xfId="0" applyNumberFormat="1" applyFont="1" applyFill="1" applyBorder="1" applyAlignment="1">
      <alignment vertical="center" wrapText="1"/>
    </xf>
    <xf numFmtId="3" fontId="16" fillId="2" borderId="33" xfId="0" applyNumberFormat="1" applyFont="1" applyFill="1" applyBorder="1" applyAlignment="1">
      <alignment vertical="center" wrapText="1"/>
    </xf>
    <xf numFmtId="0" fontId="16" fillId="2" borderId="37" xfId="0" applyFont="1" applyFill="1" applyBorder="1" applyAlignment="1">
      <alignment horizontal="center" vertical="center" wrapText="1"/>
    </xf>
    <xf numFmtId="168" fontId="14" fillId="0" borderId="13" xfId="0" applyNumberFormat="1" applyFont="1" applyFill="1" applyBorder="1" applyAlignment="1">
      <alignment horizontal="center" vertical="center" wrapText="1" shrinkToFit="1"/>
    </xf>
    <xf numFmtId="0" fontId="15" fillId="2" borderId="23" xfId="1" applyFont="1" applyFill="1" applyBorder="1" applyAlignment="1">
      <alignment horizontal="center" vertical="center" wrapText="1"/>
    </xf>
    <xf numFmtId="168" fontId="12" fillId="2" borderId="26" xfId="0" applyNumberFormat="1" applyFont="1" applyFill="1" applyBorder="1" applyAlignment="1">
      <alignment horizontal="center" vertical="center" wrapText="1"/>
    </xf>
    <xf numFmtId="168" fontId="12" fillId="2" borderId="26" xfId="0" applyNumberFormat="1" applyFont="1" applyFill="1" applyBorder="1" applyAlignment="1">
      <alignment horizontal="center" vertical="center" wrapText="1" shrinkToFit="1"/>
    </xf>
    <xf numFmtId="0" fontId="46" fillId="2" borderId="26" xfId="0" applyFont="1" applyFill="1" applyBorder="1" applyAlignment="1">
      <alignment horizontal="center" vertical="center"/>
    </xf>
    <xf numFmtId="3" fontId="12" fillId="2" borderId="40" xfId="1" applyNumberFormat="1" applyFont="1" applyFill="1" applyBorder="1" applyAlignment="1">
      <alignment horizontal="right" vertical="center" wrapText="1"/>
    </xf>
    <xf numFmtId="3" fontId="12" fillId="2" borderId="33" xfId="1" applyNumberFormat="1" applyFont="1" applyFill="1" applyBorder="1" applyAlignment="1">
      <alignment horizontal="right" vertical="center" wrapText="1"/>
    </xf>
    <xf numFmtId="3" fontId="11" fillId="2" borderId="25" xfId="0" applyNumberFormat="1" applyFont="1" applyFill="1" applyBorder="1" applyAlignment="1">
      <alignment vertical="center" wrapText="1"/>
    </xf>
    <xf numFmtId="3" fontId="11" fillId="2" borderId="21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 shrinkToFit="1"/>
    </xf>
    <xf numFmtId="0" fontId="13" fillId="2" borderId="26" xfId="1" applyFont="1" applyFill="1" applyBorder="1" applyAlignment="1">
      <alignment horizontal="center" vertical="center" wrapText="1"/>
    </xf>
    <xf numFmtId="3" fontId="14" fillId="2" borderId="40" xfId="1" applyNumberFormat="1" applyFont="1" applyFill="1" applyBorder="1" applyAlignment="1">
      <alignment horizontal="right" vertical="center" wrapText="1"/>
    </xf>
    <xf numFmtId="3" fontId="14" fillId="2" borderId="33" xfId="1" applyNumberFormat="1" applyFont="1" applyFill="1" applyBorder="1" applyAlignment="1">
      <alignment horizontal="right" vertical="center" wrapText="1"/>
    </xf>
    <xf numFmtId="3" fontId="13" fillId="2" borderId="26" xfId="0" applyNumberFormat="1" applyFont="1" applyFill="1" applyBorder="1" applyAlignment="1">
      <alignment horizontal="right" vertical="center" wrapText="1"/>
    </xf>
    <xf numFmtId="3" fontId="13" fillId="2" borderId="37" xfId="0" applyNumberFormat="1" applyFont="1" applyFill="1" applyBorder="1" applyAlignment="1">
      <alignment horizontal="right" vertical="center" wrapText="1"/>
    </xf>
    <xf numFmtId="3" fontId="13" fillId="2" borderId="21" xfId="0" applyNumberFormat="1" applyFont="1" applyFill="1" applyBorder="1" applyAlignment="1">
      <alignment vertical="center" wrapText="1"/>
    </xf>
    <xf numFmtId="49" fontId="13" fillId="2" borderId="31" xfId="0" applyNumberFormat="1" applyFont="1" applyFill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 wrapText="1"/>
    </xf>
    <xf numFmtId="168" fontId="28" fillId="0" borderId="13" xfId="0" applyNumberFormat="1" applyFont="1" applyFill="1" applyBorder="1" applyAlignment="1">
      <alignment horizontal="center" vertical="center" wrapText="1"/>
    </xf>
    <xf numFmtId="168" fontId="28" fillId="0" borderId="13" xfId="0" applyNumberFormat="1" applyFont="1" applyFill="1" applyBorder="1" applyAlignment="1">
      <alignment horizontal="center" vertical="center" wrapText="1" shrinkToFit="1"/>
    </xf>
    <xf numFmtId="3" fontId="28" fillId="0" borderId="13" xfId="1" applyNumberFormat="1" applyFont="1" applyFill="1" applyBorder="1" applyAlignment="1">
      <alignment horizontal="right" vertical="center" wrapText="1"/>
    </xf>
    <xf numFmtId="3" fontId="15" fillId="11" borderId="13" xfId="0" applyNumberFormat="1" applyFont="1" applyFill="1" applyBorder="1" applyAlignment="1">
      <alignment horizontal="right" vertical="center" wrapText="1"/>
    </xf>
    <xf numFmtId="3" fontId="15" fillId="3" borderId="19" xfId="0" applyNumberFormat="1" applyFont="1" applyFill="1" applyBorder="1" applyAlignment="1">
      <alignment horizontal="right" vertical="center" wrapText="1"/>
    </xf>
    <xf numFmtId="3" fontId="9" fillId="2" borderId="0" xfId="1" applyNumberFormat="1" applyFont="1" applyFill="1" applyBorder="1" applyAlignment="1">
      <alignment horizontal="right" vertical="center" wrapText="1"/>
    </xf>
    <xf numFmtId="3" fontId="9" fillId="2" borderId="22" xfId="1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11" fillId="2" borderId="37" xfId="0" applyNumberFormat="1" applyFont="1" applyFill="1" applyBorder="1" applyAlignment="1">
      <alignment horizontal="center" vertical="center" wrapText="1"/>
    </xf>
    <xf numFmtId="3" fontId="13" fillId="2" borderId="42" xfId="0" applyNumberFormat="1" applyFont="1" applyFill="1" applyBorder="1" applyAlignment="1">
      <alignment vertical="center" wrapText="1"/>
    </xf>
    <xf numFmtId="3" fontId="13" fillId="2" borderId="26" xfId="1" applyNumberFormat="1" applyFont="1" applyFill="1" applyBorder="1" applyAlignment="1">
      <alignment vertical="center" wrapText="1"/>
    </xf>
    <xf numFmtId="3" fontId="13" fillId="2" borderId="31" xfId="0" applyNumberFormat="1" applyFont="1" applyFill="1" applyBorder="1" applyAlignment="1">
      <alignment vertical="center" wrapText="1"/>
    </xf>
    <xf numFmtId="0" fontId="13" fillId="2" borderId="37" xfId="0" applyFont="1" applyFill="1" applyBorder="1" applyAlignment="1">
      <alignment horizontal="center" vertical="center" wrapText="1"/>
    </xf>
    <xf numFmtId="49" fontId="13" fillId="2" borderId="37" xfId="0" applyNumberFormat="1" applyFont="1" applyFill="1" applyBorder="1" applyAlignment="1">
      <alignment horizontal="center" vertical="center" wrapText="1"/>
    </xf>
    <xf numFmtId="3" fontId="7" fillId="2" borderId="60" xfId="0" applyNumberFormat="1" applyFont="1" applyFill="1" applyBorder="1" applyAlignment="1">
      <alignment vertical="center" wrapText="1"/>
    </xf>
    <xf numFmtId="3" fontId="7" fillId="2" borderId="23" xfId="1" applyNumberFormat="1" applyFont="1" applyFill="1" applyBorder="1" applyAlignment="1">
      <alignment vertical="center" wrapText="1"/>
    </xf>
    <xf numFmtId="3" fontId="11" fillId="2" borderId="26" xfId="1" applyNumberFormat="1" applyFont="1" applyFill="1" applyBorder="1" applyAlignment="1">
      <alignment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3" fontId="7" fillId="2" borderId="59" xfId="0" applyNumberFormat="1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3" fontId="17" fillId="0" borderId="40" xfId="1" applyNumberFormat="1" applyFont="1" applyFill="1" applyBorder="1" applyAlignment="1">
      <alignment horizontal="right" vertical="center" wrapText="1"/>
    </xf>
    <xf numFmtId="3" fontId="17" fillId="0" borderId="33" xfId="1" applyNumberFormat="1" applyFont="1" applyFill="1" applyBorder="1" applyAlignment="1">
      <alignment horizontal="right" vertical="center" wrapText="1"/>
    </xf>
    <xf numFmtId="3" fontId="16" fillId="0" borderId="37" xfId="1" applyNumberFormat="1" applyFont="1" applyFill="1" applyBorder="1" applyAlignment="1">
      <alignment vertical="center" wrapText="1"/>
    </xf>
    <xf numFmtId="0" fontId="16" fillId="2" borderId="42" xfId="0" applyFont="1" applyFill="1" applyBorder="1" applyAlignment="1">
      <alignment horizontal="center" vertical="center" wrapText="1"/>
    </xf>
    <xf numFmtId="3" fontId="14" fillId="0" borderId="22" xfId="1" applyNumberFormat="1" applyFont="1" applyFill="1" applyBorder="1" applyAlignment="1">
      <alignment horizontal="right" vertical="center" wrapText="1"/>
    </xf>
    <xf numFmtId="3" fontId="13" fillId="2" borderId="36" xfId="0" applyNumberFormat="1" applyFont="1" applyFill="1" applyBorder="1" applyAlignment="1">
      <alignment vertical="center" wrapText="1"/>
    </xf>
    <xf numFmtId="3" fontId="13" fillId="2" borderId="37" xfId="1" applyNumberFormat="1" applyFont="1" applyFill="1" applyBorder="1" applyAlignment="1">
      <alignment vertical="center" wrapText="1"/>
    </xf>
    <xf numFmtId="3" fontId="13" fillId="0" borderId="19" xfId="1" applyNumberFormat="1" applyFont="1" applyFill="1" applyBorder="1" applyAlignment="1">
      <alignment vertical="center" wrapText="1"/>
    </xf>
    <xf numFmtId="3" fontId="13" fillId="0" borderId="13" xfId="1" applyNumberFormat="1" applyFont="1" applyFill="1" applyBorder="1" applyAlignment="1">
      <alignment vertical="center" wrapText="1"/>
    </xf>
    <xf numFmtId="3" fontId="17" fillId="2" borderId="23" xfId="1" applyNumberFormat="1" applyFont="1" applyFill="1" applyBorder="1" applyAlignment="1">
      <alignment horizontal="right" vertical="center" wrapText="1"/>
    </xf>
    <xf numFmtId="0" fontId="32" fillId="0" borderId="31" xfId="0" applyFont="1" applyFill="1" applyBorder="1" applyAlignment="1">
      <alignment horizontal="center" wrapText="1"/>
    </xf>
    <xf numFmtId="0" fontId="46" fillId="0" borderId="32" xfId="1" applyFont="1" applyFill="1" applyBorder="1" applyAlignment="1">
      <alignment horizontal="center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3" fontId="11" fillId="0" borderId="37" xfId="1" applyNumberFormat="1" applyFont="1" applyFill="1" applyBorder="1" applyAlignment="1">
      <alignment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wrapText="1"/>
    </xf>
    <xf numFmtId="0" fontId="40" fillId="2" borderId="31" xfId="0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vertical="center" wrapText="1"/>
    </xf>
    <xf numFmtId="3" fontId="7" fillId="2" borderId="41" xfId="0" applyNumberFormat="1" applyFont="1" applyFill="1" applyBorder="1" applyAlignment="1">
      <alignment vertical="center" wrapText="1"/>
    </xf>
    <xf numFmtId="49" fontId="7" fillId="2" borderId="42" xfId="0" applyNumberFormat="1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wrapText="1"/>
    </xf>
    <xf numFmtId="0" fontId="8" fillId="2" borderId="45" xfId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vertical="center" wrapText="1"/>
    </xf>
    <xf numFmtId="49" fontId="7" fillId="2" borderId="58" xfId="0" applyNumberFormat="1" applyFont="1" applyFill="1" applyBorder="1" applyAlignment="1">
      <alignment horizontal="center" vertical="center" wrapText="1"/>
    </xf>
    <xf numFmtId="0" fontId="40" fillId="5" borderId="26" xfId="0" applyFont="1" applyFill="1" applyBorder="1" applyAlignment="1">
      <alignment horizontal="center" wrapText="1"/>
    </xf>
    <xf numFmtId="2" fontId="8" fillId="5" borderId="26" xfId="0" applyNumberFormat="1" applyFont="1" applyFill="1" applyBorder="1" applyAlignment="1">
      <alignment horizontal="center" vertical="center" wrapText="1"/>
    </xf>
    <xf numFmtId="1" fontId="9" fillId="5" borderId="26" xfId="1" applyNumberFormat="1" applyFont="1" applyFill="1" applyBorder="1" applyAlignment="1">
      <alignment vertical="center" wrapText="1"/>
    </xf>
    <xf numFmtId="1" fontId="7" fillId="5" borderId="46" xfId="0" applyNumberFormat="1" applyFont="1" applyFill="1" applyBorder="1" applyAlignment="1">
      <alignment horizontal="right" vertical="center" wrapText="1"/>
    </xf>
    <xf numFmtId="1" fontId="7" fillId="5" borderId="20" xfId="0" applyNumberFormat="1" applyFont="1" applyFill="1" applyBorder="1" applyAlignment="1">
      <alignment horizontal="right" vertical="center" wrapText="1"/>
    </xf>
    <xf numFmtId="1" fontId="7" fillId="5" borderId="41" xfId="0" applyNumberFormat="1" applyFont="1" applyFill="1" applyBorder="1" applyAlignment="1">
      <alignment horizontal="right" vertical="center" wrapText="1"/>
    </xf>
    <xf numFmtId="1" fontId="7" fillId="5" borderId="26" xfId="0" applyNumberFormat="1" applyFont="1" applyFill="1" applyBorder="1" applyAlignment="1">
      <alignment horizontal="right" vertical="center" wrapText="1"/>
    </xf>
    <xf numFmtId="1" fontId="7" fillId="5" borderId="37" xfId="0" applyNumberFormat="1" applyFont="1" applyFill="1" applyBorder="1" applyAlignment="1">
      <alignment horizontal="right" vertical="center" wrapText="1"/>
    </xf>
    <xf numFmtId="0" fontId="26" fillId="2" borderId="32" xfId="1" applyFont="1" applyFill="1" applyBorder="1" applyAlignment="1">
      <alignment horizontal="center" vertical="center" wrapText="1"/>
    </xf>
    <xf numFmtId="0" fontId="26" fillId="0" borderId="45" xfId="1" applyFont="1" applyFill="1" applyBorder="1" applyAlignment="1">
      <alignment horizontal="center" vertical="center" wrapText="1"/>
    </xf>
    <xf numFmtId="3" fontId="9" fillId="5" borderId="32" xfId="1" applyNumberFormat="1" applyFont="1" applyFill="1" applyBorder="1" applyAlignment="1">
      <alignment horizontal="right" vertical="center" wrapText="1"/>
    </xf>
    <xf numFmtId="3" fontId="9" fillId="5" borderId="9" xfId="1" applyNumberFormat="1" applyFont="1" applyFill="1" applyBorder="1" applyAlignment="1">
      <alignment horizontal="right" vertical="center" wrapText="1"/>
    </xf>
    <xf numFmtId="49" fontId="9" fillId="5" borderId="14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vertical="center"/>
    </xf>
    <xf numFmtId="49" fontId="7" fillId="8" borderId="31" xfId="0" applyNumberFormat="1" applyFont="1" applyFill="1" applyBorder="1" applyAlignment="1">
      <alignment horizontal="center" vertical="center" wrapText="1"/>
    </xf>
    <xf numFmtId="3" fontId="15" fillId="0" borderId="46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vertical="center" wrapText="1"/>
    </xf>
    <xf numFmtId="3" fontId="15" fillId="0" borderId="26" xfId="0" applyNumberFormat="1" applyFont="1" applyBorder="1" applyAlignment="1">
      <alignment vertical="center"/>
    </xf>
    <xf numFmtId="0" fontId="8" fillId="8" borderId="31" xfId="0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vertical="center"/>
    </xf>
    <xf numFmtId="0" fontId="15" fillId="0" borderId="27" xfId="1" applyFont="1" applyFill="1" applyBorder="1" applyAlignment="1">
      <alignment horizontal="center" vertical="center" wrapText="1"/>
    </xf>
    <xf numFmtId="3" fontId="7" fillId="2" borderId="15" xfId="3" applyNumberFormat="1" applyFont="1" applyFill="1" applyBorder="1" applyAlignment="1">
      <alignment vertical="center"/>
    </xf>
    <xf numFmtId="3" fontId="7" fillId="2" borderId="47" xfId="3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49" fontId="16" fillId="8" borderId="31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49" fontId="7" fillId="8" borderId="25" xfId="0" applyNumberFormat="1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vertical="center" wrapText="1"/>
    </xf>
    <xf numFmtId="3" fontId="15" fillId="0" borderId="65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 wrapText="1"/>
    </xf>
    <xf numFmtId="3" fontId="15" fillId="0" borderId="66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right" vertical="center" wrapText="1"/>
    </xf>
    <xf numFmtId="3" fontId="11" fillId="0" borderId="55" xfId="0" applyNumberFormat="1" applyFont="1" applyFill="1" applyBorder="1" applyAlignment="1">
      <alignment vertical="center"/>
    </xf>
    <xf numFmtId="3" fontId="11" fillId="11" borderId="23" xfId="0" applyNumberFormat="1" applyFont="1" applyFill="1" applyBorder="1" applyAlignment="1">
      <alignment horizontal="right" vertical="center" wrapText="1"/>
    </xf>
    <xf numFmtId="3" fontId="11" fillId="3" borderId="27" xfId="0" applyNumberFormat="1" applyFont="1" applyFill="1" applyBorder="1" applyAlignment="1">
      <alignment horizontal="right" vertical="center" wrapText="1"/>
    </xf>
    <xf numFmtId="49" fontId="11" fillId="8" borderId="25" xfId="0" applyNumberFormat="1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28" fillId="0" borderId="23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vertical="center" wrapText="1"/>
    </xf>
    <xf numFmtId="3" fontId="15" fillId="0" borderId="25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right" vertical="center"/>
    </xf>
    <xf numFmtId="0" fontId="8" fillId="8" borderId="13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wrapText="1"/>
    </xf>
    <xf numFmtId="3" fontId="7" fillId="5" borderId="13" xfId="0" applyNumberFormat="1" applyFont="1" applyFill="1" applyBorder="1" applyAlignment="1">
      <alignment horizontal="right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center" vertical="center" wrapText="1" shrinkToFit="1"/>
    </xf>
    <xf numFmtId="0" fontId="40" fillId="5" borderId="22" xfId="0" applyFont="1" applyFill="1" applyBorder="1" applyAlignment="1">
      <alignment horizontal="center" wrapText="1"/>
    </xf>
    <xf numFmtId="0" fontId="8" fillId="5" borderId="22" xfId="1" applyFont="1" applyFill="1" applyBorder="1" applyAlignment="1">
      <alignment horizontal="center" vertical="center" wrapText="1"/>
    </xf>
    <xf numFmtId="1" fontId="9" fillId="5" borderId="22" xfId="1" applyNumberFormat="1" applyFont="1" applyFill="1" applyBorder="1" applyAlignment="1">
      <alignment vertical="center" wrapText="1"/>
    </xf>
    <xf numFmtId="3" fontId="7" fillId="5" borderId="68" xfId="0" applyNumberFormat="1" applyFont="1" applyFill="1" applyBorder="1" applyAlignment="1">
      <alignment vertical="center" wrapText="1"/>
    </xf>
    <xf numFmtId="3" fontId="7" fillId="5" borderId="63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70" xfId="0" applyNumberFormat="1" applyFont="1" applyFill="1" applyBorder="1" applyAlignment="1">
      <alignment horizontal="center" vertical="center" wrapText="1"/>
    </xf>
    <xf numFmtId="3" fontId="9" fillId="5" borderId="30" xfId="1" applyNumberFormat="1" applyFont="1" applyFill="1" applyBorder="1" applyAlignment="1">
      <alignment vertical="center" wrapText="1"/>
    </xf>
    <xf numFmtId="0" fontId="0" fillId="0" borderId="1" xfId="0" applyFont="1" applyBorder="1"/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 shrinkToFit="1"/>
    </xf>
    <xf numFmtId="0" fontId="7" fillId="2" borderId="1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3" fontId="7" fillId="2" borderId="53" xfId="0" applyNumberFormat="1" applyFont="1" applyFill="1" applyBorder="1" applyAlignment="1">
      <alignment vertical="center" wrapText="1"/>
    </xf>
    <xf numFmtId="3" fontId="7" fillId="2" borderId="54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 shrinkToFit="1"/>
    </xf>
    <xf numFmtId="0" fontId="7" fillId="2" borderId="25" xfId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vertical="center" wrapText="1"/>
    </xf>
    <xf numFmtId="0" fontId="32" fillId="2" borderId="26" xfId="0" applyFont="1" applyFill="1" applyBorder="1" applyAlignment="1">
      <alignment horizontal="center" wrapText="1"/>
    </xf>
    <xf numFmtId="0" fontId="46" fillId="2" borderId="37" xfId="1" applyFont="1" applyFill="1" applyBorder="1" applyAlignment="1">
      <alignment horizontal="center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3" fontId="11" fillId="2" borderId="27" xfId="0" applyNumberFormat="1" applyFont="1" applyFill="1" applyBorder="1" applyAlignment="1">
      <alignment horizontal="right" vertical="center" wrapText="1"/>
    </xf>
    <xf numFmtId="3" fontId="15" fillId="0" borderId="35" xfId="0" applyNumberFormat="1" applyFont="1" applyFill="1" applyBorder="1" applyAlignment="1">
      <alignment horizontal="right" vertical="center" wrapText="1"/>
    </xf>
    <xf numFmtId="3" fontId="13" fillId="0" borderId="35" xfId="0" applyNumberFormat="1" applyFont="1" applyFill="1" applyBorder="1" applyAlignment="1">
      <alignment horizontal="right" vertical="center" wrapText="1"/>
    </xf>
    <xf numFmtId="49" fontId="13" fillId="8" borderId="31" xfId="0" applyNumberFormat="1" applyFont="1" applyFill="1" applyBorder="1" applyAlignment="1">
      <alignment horizontal="center" vertical="center" wrapText="1"/>
    </xf>
    <xf numFmtId="0" fontId="46" fillId="0" borderId="31" xfId="1" applyFont="1" applyFill="1" applyBorder="1" applyAlignment="1">
      <alignment horizontal="center" vertical="center" wrapText="1"/>
    </xf>
    <xf numFmtId="3" fontId="28" fillId="0" borderId="14" xfId="1" applyNumberFormat="1" applyFont="1" applyFill="1" applyBorder="1" applyAlignment="1">
      <alignment horizontal="right" vertical="center" wrapText="1"/>
    </xf>
    <xf numFmtId="3" fontId="15" fillId="0" borderId="45" xfId="0" applyNumberFormat="1" applyFont="1" applyFill="1" applyBorder="1" applyAlignment="1">
      <alignment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 shrinkToFi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7" fillId="8" borderId="45" xfId="1" applyFont="1" applyFill="1" applyBorder="1" applyAlignment="1">
      <alignment horizontal="center" vertical="center" wrapText="1"/>
    </xf>
    <xf numFmtId="0" fontId="8" fillId="8" borderId="15" xfId="1" applyFont="1" applyFill="1" applyBorder="1" applyAlignment="1">
      <alignment horizontal="center" vertical="center" wrapText="1"/>
    </xf>
    <xf numFmtId="3" fontId="9" fillId="8" borderId="13" xfId="1" applyNumberFormat="1" applyFont="1" applyFill="1" applyBorder="1" applyAlignment="1">
      <alignment vertical="center" wrapText="1"/>
    </xf>
    <xf numFmtId="3" fontId="7" fillId="8" borderId="56" xfId="0" applyNumberFormat="1" applyFont="1" applyFill="1" applyBorder="1" applyAlignment="1">
      <alignment vertical="center" wrapText="1"/>
    </xf>
    <xf numFmtId="3" fontId="7" fillId="8" borderId="19" xfId="0" applyNumberFormat="1" applyFont="1" applyFill="1" applyBorder="1" applyAlignment="1">
      <alignment vertical="center" wrapText="1"/>
    </xf>
    <xf numFmtId="3" fontId="7" fillId="8" borderId="47" xfId="0" applyNumberFormat="1" applyFont="1" applyFill="1" applyBorder="1" applyAlignment="1">
      <alignment vertical="center" wrapText="1"/>
    </xf>
    <xf numFmtId="3" fontId="7" fillId="8" borderId="45" xfId="0" applyNumberFormat="1" applyFont="1" applyFill="1" applyBorder="1" applyAlignment="1">
      <alignment vertical="center" wrapText="1"/>
    </xf>
    <xf numFmtId="3" fontId="7" fillId="8" borderId="45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vertical="center" wrapText="1"/>
    </xf>
    <xf numFmtId="3" fontId="7" fillId="8" borderId="15" xfId="0" applyNumberFormat="1" applyFont="1" applyFill="1" applyBorder="1" applyAlignment="1">
      <alignment vertical="center" wrapText="1"/>
    </xf>
    <xf numFmtId="3" fontId="28" fillId="0" borderId="20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3" fontId="14" fillId="0" borderId="18" xfId="1" applyNumberFormat="1" applyFont="1" applyBorder="1" applyAlignment="1">
      <alignment vertical="center" wrapText="1"/>
    </xf>
    <xf numFmtId="3" fontId="13" fillId="0" borderId="53" xfId="0" applyNumberFormat="1" applyFont="1" applyBorder="1" applyAlignment="1">
      <alignment vertical="center" wrapText="1"/>
    </xf>
    <xf numFmtId="3" fontId="13" fillId="0" borderId="38" xfId="0" applyNumberFormat="1" applyFont="1" applyBorder="1" applyAlignment="1">
      <alignment vertical="center" wrapText="1"/>
    </xf>
    <xf numFmtId="3" fontId="13" fillId="0" borderId="54" xfId="0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vertical="center" wrapText="1"/>
    </xf>
    <xf numFmtId="3" fontId="13" fillId="11" borderId="18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 shrinkToFit="1"/>
    </xf>
    <xf numFmtId="0" fontId="7" fillId="0" borderId="18" xfId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vertical="center" wrapText="1"/>
    </xf>
    <xf numFmtId="3" fontId="13" fillId="0" borderId="44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3" fontId="13" fillId="0" borderId="27" xfId="0" applyNumberFormat="1" applyFont="1" applyBorder="1" applyAlignment="1">
      <alignment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3" fontId="7" fillId="2" borderId="59" xfId="0" applyNumberFormat="1" applyFont="1" applyFill="1" applyBorder="1" applyAlignment="1">
      <alignment vertical="center"/>
    </xf>
    <xf numFmtId="3" fontId="7" fillId="2" borderId="60" xfId="0" applyNumberFormat="1" applyFont="1" applyFill="1" applyBorder="1" applyAlignment="1">
      <alignment vertical="center"/>
    </xf>
    <xf numFmtId="49" fontId="7" fillId="2" borderId="2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49" fontId="13" fillId="0" borderId="15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 shrinkToFit="1"/>
    </xf>
    <xf numFmtId="0" fontId="7" fillId="2" borderId="23" xfId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 shrinkToFit="1"/>
    </xf>
    <xf numFmtId="0" fontId="46" fillId="2" borderId="23" xfId="0" applyFont="1" applyFill="1" applyBorder="1" applyAlignment="1">
      <alignment horizontal="center" vertical="center" wrapText="1"/>
    </xf>
    <xf numFmtId="3" fontId="12" fillId="2" borderId="23" xfId="1" applyNumberFormat="1" applyFont="1" applyFill="1" applyBorder="1" applyAlignment="1">
      <alignment horizontal="right" vertical="center" wrapText="1"/>
    </xf>
    <xf numFmtId="49" fontId="7" fillId="2" borderId="23" xfId="0" applyNumberFormat="1" applyFont="1" applyFill="1" applyBorder="1" applyAlignment="1">
      <alignment horizontal="center" vertical="center" wrapText="1" shrinkToFit="1"/>
    </xf>
    <xf numFmtId="3" fontId="9" fillId="2" borderId="4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14" xfId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7" fillId="2" borderId="69" xfId="0" applyNumberFormat="1" applyFont="1" applyFill="1" applyBorder="1" applyAlignment="1">
      <alignment vertical="center" wrapText="1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 shrinkToFit="1"/>
    </xf>
    <xf numFmtId="3" fontId="11" fillId="2" borderId="61" xfId="0" applyNumberFormat="1" applyFont="1" applyFill="1" applyBorder="1" applyAlignment="1">
      <alignment vertical="center" wrapText="1"/>
    </xf>
    <xf numFmtId="3" fontId="11" fillId="2" borderId="62" xfId="0" applyNumberFormat="1" applyFont="1" applyFill="1" applyBorder="1" applyAlignment="1">
      <alignment vertical="center" wrapText="1"/>
    </xf>
    <xf numFmtId="3" fontId="11" fillId="2" borderId="0" xfId="0" applyNumberFormat="1" applyFont="1" applyFill="1" applyAlignment="1">
      <alignment vertical="center" wrapText="1"/>
    </xf>
    <xf numFmtId="3" fontId="11" fillId="2" borderId="22" xfId="0" applyNumberFormat="1" applyFont="1" applyFill="1" applyBorder="1" applyAlignment="1">
      <alignment vertical="center" wrapText="1"/>
    </xf>
    <xf numFmtId="3" fontId="11" fillId="2" borderId="29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vertical="center" wrapText="1"/>
    </xf>
    <xf numFmtId="3" fontId="11" fillId="2" borderId="55" xfId="0" applyNumberFormat="1" applyFont="1" applyFill="1" applyBorder="1" applyAlignment="1">
      <alignment vertical="center" wrapText="1"/>
    </xf>
    <xf numFmtId="3" fontId="11" fillId="2" borderId="44" xfId="0" applyNumberFormat="1" applyFont="1" applyFill="1" applyBorder="1" applyAlignment="1">
      <alignment vertical="center" wrapText="1"/>
    </xf>
    <xf numFmtId="3" fontId="11" fillId="2" borderId="24" xfId="0" applyNumberFormat="1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3" fontId="9" fillId="0" borderId="12" xfId="0" applyNumberFormat="1" applyFont="1" applyFill="1" applyBorder="1" applyAlignment="1">
      <alignment vertical="center" wrapText="1"/>
    </xf>
    <xf numFmtId="3" fontId="9" fillId="0" borderId="54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40" fillId="5" borderId="23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37" fillId="0" borderId="65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3" fontId="37" fillId="0" borderId="66" xfId="0" applyNumberFormat="1" applyFont="1" applyFill="1" applyBorder="1" applyAlignment="1">
      <alignment horizontal="center" vertical="center"/>
    </xf>
    <xf numFmtId="3" fontId="40" fillId="0" borderId="16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3" fontId="40" fillId="0" borderId="66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 wrapText="1" shrinkToFit="1"/>
    </xf>
    <xf numFmtId="3" fontId="13" fillId="2" borderId="3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center"/>
    </xf>
    <xf numFmtId="2" fontId="7" fillId="5" borderId="3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4" fontId="7" fillId="5" borderId="32" xfId="0" applyNumberFormat="1" applyFont="1" applyFill="1" applyBorder="1" applyAlignment="1">
      <alignment horizontal="center" vertical="center" wrapText="1"/>
    </xf>
    <xf numFmtId="4" fontId="9" fillId="5" borderId="32" xfId="0" applyNumberFormat="1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 wrapText="1"/>
    </xf>
    <xf numFmtId="3" fontId="23" fillId="2" borderId="32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right" vertical="center" wrapText="1"/>
    </xf>
    <xf numFmtId="3" fontId="9" fillId="6" borderId="3" xfId="1" applyNumberFormat="1" applyFont="1" applyFill="1" applyBorder="1" applyAlignment="1">
      <alignment horizontal="right" vertical="center" wrapText="1"/>
    </xf>
    <xf numFmtId="3" fontId="9" fillId="5" borderId="25" xfId="1" applyNumberFormat="1" applyFont="1" applyFill="1" applyBorder="1" applyAlignment="1">
      <alignment horizontal="right" vertical="center" wrapText="1"/>
    </xf>
    <xf numFmtId="3" fontId="9" fillId="5" borderId="31" xfId="1" applyNumberFormat="1" applyFont="1" applyFill="1" applyBorder="1" applyAlignment="1">
      <alignment horizontal="right" vertical="center" wrapText="1"/>
    </xf>
    <xf numFmtId="3" fontId="9" fillId="2" borderId="25" xfId="1" applyNumberFormat="1" applyFont="1" applyFill="1" applyBorder="1" applyAlignment="1">
      <alignment horizontal="right" vertical="center" wrapText="1"/>
    </xf>
    <xf numFmtId="3" fontId="9" fillId="2" borderId="34" xfId="1" applyNumberFormat="1" applyFont="1" applyFill="1" applyBorder="1" applyAlignment="1">
      <alignment horizontal="right" vertical="center" wrapText="1"/>
    </xf>
    <xf numFmtId="3" fontId="9" fillId="2" borderId="30" xfId="1" applyNumberFormat="1" applyFont="1" applyFill="1" applyBorder="1" applyAlignment="1">
      <alignment horizontal="right" vertical="center" wrapText="1"/>
    </xf>
    <xf numFmtId="0" fontId="40" fillId="2" borderId="26" xfId="0" applyFont="1" applyFill="1" applyBorder="1" applyAlignment="1">
      <alignment horizontal="center" wrapText="1"/>
    </xf>
    <xf numFmtId="0" fontId="40" fillId="2" borderId="13" xfId="0" applyFont="1" applyFill="1" applyBorder="1" applyAlignment="1">
      <alignment horizontal="center" wrapText="1"/>
    </xf>
    <xf numFmtId="3" fontId="9" fillId="2" borderId="28" xfId="1" applyNumberFormat="1" applyFont="1" applyFill="1" applyBorder="1" applyAlignment="1">
      <alignment horizontal="right" vertical="center" wrapText="1"/>
    </xf>
    <xf numFmtId="3" fontId="9" fillId="2" borderId="12" xfId="1" applyNumberFormat="1" applyFont="1" applyFill="1" applyBorder="1" applyAlignment="1">
      <alignment horizontal="right" vertical="center" wrapText="1"/>
    </xf>
    <xf numFmtId="3" fontId="9" fillId="5" borderId="45" xfId="1" applyNumberFormat="1" applyFont="1" applyFill="1" applyBorder="1" applyAlignment="1">
      <alignment horizontal="right" vertical="center" wrapText="1"/>
    </xf>
    <xf numFmtId="3" fontId="7" fillId="5" borderId="22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horizontal="center" vertical="center" wrapText="1"/>
    </xf>
    <xf numFmtId="0" fontId="35" fillId="0" borderId="0" xfId="0" applyFont="1" applyFill="1"/>
    <xf numFmtId="0" fontId="42" fillId="0" borderId="0" xfId="0" applyFont="1" applyFill="1"/>
    <xf numFmtId="3" fontId="12" fillId="2" borderId="25" xfId="1" applyNumberFormat="1" applyFont="1" applyFill="1" applyBorder="1" applyAlignment="1">
      <alignment horizontal="right" vertical="center" wrapText="1"/>
    </xf>
    <xf numFmtId="3" fontId="12" fillId="2" borderId="2" xfId="1" applyNumberFormat="1" applyFont="1" applyFill="1" applyBorder="1" applyAlignment="1">
      <alignment horizontal="right" vertical="center" wrapText="1"/>
    </xf>
    <xf numFmtId="3" fontId="12" fillId="0" borderId="25" xfId="1" applyNumberFormat="1" applyFont="1" applyFill="1" applyBorder="1" applyAlignment="1">
      <alignment horizontal="right" vertical="center" wrapText="1"/>
    </xf>
    <xf numFmtId="3" fontId="12" fillId="0" borderId="14" xfId="1" applyNumberFormat="1" applyFont="1" applyFill="1" applyBorder="1" applyAlignment="1">
      <alignment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7" fillId="0" borderId="25" xfId="1" applyNumberFormat="1" applyFont="1" applyFill="1" applyBorder="1" applyAlignment="1">
      <alignment horizontal="right" vertical="center" wrapText="1"/>
    </xf>
    <xf numFmtId="3" fontId="17" fillId="0" borderId="26" xfId="1" applyNumberFormat="1" applyFont="1" applyFill="1" applyBorder="1" applyAlignment="1">
      <alignment horizontal="right" vertical="center" wrapText="1"/>
    </xf>
    <xf numFmtId="4" fontId="16" fillId="0" borderId="32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/>
    </xf>
    <xf numFmtId="0" fontId="40" fillId="5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right" vertical="center"/>
    </xf>
    <xf numFmtId="3" fontId="7" fillId="5" borderId="26" xfId="0" applyNumberFormat="1" applyFont="1" applyFill="1" applyBorder="1" applyAlignment="1">
      <alignment horizontal="right" vertical="center"/>
    </xf>
    <xf numFmtId="3" fontId="7" fillId="5" borderId="46" xfId="0" applyNumberFormat="1" applyFont="1" applyFill="1" applyBorder="1" applyAlignment="1">
      <alignment horizontal="right" vertical="center"/>
    </xf>
    <xf numFmtId="3" fontId="7" fillId="5" borderId="37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3" fontId="7" fillId="5" borderId="32" xfId="0" applyNumberFormat="1" applyFont="1" applyFill="1" applyBorder="1" applyAlignment="1">
      <alignment vertical="center"/>
    </xf>
    <xf numFmtId="3" fontId="7" fillId="5" borderId="32" xfId="0" applyNumberFormat="1" applyFont="1" applyFill="1" applyBorder="1" applyAlignment="1">
      <alignment horizontal="center" vertical="center"/>
    </xf>
    <xf numFmtId="49" fontId="7" fillId="5" borderId="31" xfId="0" applyNumberFormat="1" applyFont="1" applyFill="1" applyBorder="1" applyAlignment="1">
      <alignment horizontal="center" vertical="center"/>
    </xf>
    <xf numFmtId="49" fontId="7" fillId="5" borderId="26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 shrinkToFit="1"/>
    </xf>
    <xf numFmtId="0" fontId="40" fillId="5" borderId="2" xfId="0" applyFont="1" applyFill="1" applyBorder="1" applyAlignment="1">
      <alignment horizontal="center" wrapText="1"/>
    </xf>
    <xf numFmtId="0" fontId="7" fillId="5" borderId="2" xfId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3" fontId="9" fillId="12" borderId="2" xfId="1" applyNumberFormat="1" applyFont="1" applyFill="1" applyBorder="1" applyAlignment="1">
      <alignment vertical="center" wrapText="1"/>
    </xf>
    <xf numFmtId="3" fontId="7" fillId="12" borderId="59" xfId="0" applyNumberFormat="1" applyFont="1" applyFill="1" applyBorder="1" applyAlignment="1">
      <alignment vertical="center" wrapText="1"/>
    </xf>
    <xf numFmtId="3" fontId="7" fillId="12" borderId="51" xfId="0" applyNumberFormat="1" applyFont="1" applyFill="1" applyBorder="1" applyAlignment="1">
      <alignment vertical="center" wrapText="1"/>
    </xf>
    <xf numFmtId="3" fontId="7" fillId="12" borderId="60" xfId="0" applyNumberFormat="1" applyFont="1" applyFill="1" applyBorder="1" applyAlignment="1">
      <alignment vertical="center" wrapText="1"/>
    </xf>
    <xf numFmtId="3" fontId="7" fillId="12" borderId="8" xfId="0" applyNumberFormat="1" applyFont="1" applyFill="1" applyBorder="1" applyAlignment="1">
      <alignment vertical="center" wrapText="1"/>
    </xf>
    <xf numFmtId="3" fontId="7" fillId="12" borderId="2" xfId="0" applyNumberFormat="1" applyFont="1" applyFill="1" applyBorder="1" applyAlignment="1">
      <alignment horizontal="right" vertical="center" wrapText="1"/>
    </xf>
    <xf numFmtId="3" fontId="7" fillId="12" borderId="8" xfId="0" applyNumberFormat="1" applyFont="1" applyFill="1" applyBorder="1" applyAlignment="1">
      <alignment horizontal="right" vertical="center" wrapText="1"/>
    </xf>
    <xf numFmtId="3" fontId="7" fillId="12" borderId="2" xfId="0" applyNumberFormat="1" applyFont="1" applyFill="1" applyBorder="1" applyAlignment="1">
      <alignment vertical="center" wrapText="1"/>
    </xf>
    <xf numFmtId="3" fontId="7" fillId="12" borderId="9" xfId="0" applyNumberFormat="1" applyFont="1" applyFill="1" applyBorder="1" applyAlignment="1">
      <alignment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49" fontId="7" fillId="12" borderId="4" xfId="0" applyNumberFormat="1" applyFont="1" applyFill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 wrapText="1" shrinkToFit="1"/>
    </xf>
    <xf numFmtId="0" fontId="8" fillId="5" borderId="8" xfId="0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3" fontId="9" fillId="5" borderId="9" xfId="0" applyNumberFormat="1" applyFont="1" applyFill="1" applyBorder="1" applyAlignment="1">
      <alignment vertical="center" wrapText="1"/>
    </xf>
    <xf numFmtId="3" fontId="7" fillId="5" borderId="9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3" fontId="12" fillId="0" borderId="15" xfId="1" applyNumberFormat="1" applyFont="1" applyFill="1" applyBorder="1" applyAlignment="1">
      <alignment horizontal="right" vertical="center" wrapText="1"/>
    </xf>
    <xf numFmtId="3" fontId="9" fillId="5" borderId="4" xfId="1" applyNumberFormat="1" applyFont="1" applyFill="1" applyBorder="1" applyAlignment="1">
      <alignment horizontal="right" vertical="center" wrapText="1"/>
    </xf>
    <xf numFmtId="3" fontId="9" fillId="0" borderId="10" xfId="1" applyNumberFormat="1" applyFont="1" applyFill="1" applyBorder="1" applyAlignment="1">
      <alignment horizontal="right" vertical="center" wrapText="1"/>
    </xf>
    <xf numFmtId="3" fontId="9" fillId="13" borderId="54" xfId="0" applyNumberFormat="1" applyFont="1" applyFill="1" applyBorder="1" applyAlignment="1">
      <alignment horizontal="center" vertical="center" wrapText="1"/>
    </xf>
    <xf numFmtId="3" fontId="9" fillId="13" borderId="16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horizontal="center" vertical="center"/>
    </xf>
    <xf numFmtId="3" fontId="7" fillId="11" borderId="33" xfId="0" applyNumberFormat="1" applyFont="1" applyFill="1" applyBorder="1" applyAlignment="1">
      <alignment horizontal="center" vertical="center" wrapText="1"/>
    </xf>
    <xf numFmtId="3" fontId="7" fillId="3" borderId="40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6" fillId="0" borderId="26" xfId="0" applyNumberFormat="1" applyFont="1" applyFill="1" applyBorder="1" applyAlignment="1">
      <alignment horizontal="center" vertical="center" wrapText="1" shrinkToFit="1"/>
    </xf>
    <xf numFmtId="49" fontId="11" fillId="2" borderId="26" xfId="0" applyNumberFormat="1" applyFont="1" applyFill="1" applyBorder="1" applyAlignment="1">
      <alignment horizontal="center" vertical="center" wrapText="1" shrinkToFit="1"/>
    </xf>
    <xf numFmtId="49" fontId="7" fillId="2" borderId="13" xfId="0" applyNumberFormat="1" applyFont="1" applyFill="1" applyBorder="1" applyAlignment="1">
      <alignment horizontal="center" vertical="center" wrapText="1" shrinkToFit="1"/>
    </xf>
    <xf numFmtId="4" fontId="13" fillId="0" borderId="32" xfId="0" quotePrefix="1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12" fillId="0" borderId="28" xfId="1" applyNumberFormat="1" applyFont="1" applyFill="1" applyBorder="1" applyAlignment="1">
      <alignment horizontal="right" vertical="center" wrapText="1"/>
    </xf>
    <xf numFmtId="3" fontId="7" fillId="0" borderId="31" xfId="0" applyNumberFormat="1" applyFont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7" fillId="12" borderId="4" xfId="0" applyNumberFormat="1" applyFont="1" applyFill="1" applyBorder="1" applyAlignment="1">
      <alignment vertical="center" wrapText="1"/>
    </xf>
    <xf numFmtId="3" fontId="9" fillId="2" borderId="37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 wrapText="1"/>
    </xf>
    <xf numFmtId="3" fontId="7" fillId="5" borderId="20" xfId="0" applyNumberFormat="1" applyFont="1" applyFill="1" applyBorder="1" applyAlignment="1">
      <alignment vertical="center"/>
    </xf>
    <xf numFmtId="0" fontId="24" fillId="2" borderId="5" xfId="0" applyFont="1" applyFill="1" applyBorder="1" applyAlignment="1">
      <alignment horizontal="center" vertical="center"/>
    </xf>
    <xf numFmtId="3" fontId="14" fillId="0" borderId="25" xfId="1" applyNumberFormat="1" applyFont="1" applyFill="1" applyBorder="1" applyAlignment="1">
      <alignment horizontal="right" vertical="center" wrapText="1"/>
    </xf>
    <xf numFmtId="0" fontId="13" fillId="2" borderId="42" xfId="0" applyFont="1" applyFill="1" applyBorder="1" applyAlignment="1">
      <alignment horizontal="center" vertical="center" wrapText="1"/>
    </xf>
    <xf numFmtId="3" fontId="14" fillId="2" borderId="25" xfId="1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wrapText="1"/>
    </xf>
    <xf numFmtId="0" fontId="43" fillId="2" borderId="31" xfId="0" applyFont="1" applyFill="1" applyBorder="1" applyAlignment="1">
      <alignment horizontal="center" wrapText="1"/>
    </xf>
    <xf numFmtId="3" fontId="28" fillId="0" borderId="30" xfId="1" applyNumberFormat="1" applyFont="1" applyFill="1" applyBorder="1" applyAlignment="1">
      <alignment horizontal="right" vertical="center" wrapText="1"/>
    </xf>
    <xf numFmtId="3" fontId="28" fillId="0" borderId="23" xfId="1" applyNumberFormat="1" applyFont="1" applyFill="1" applyBorder="1" applyAlignment="1">
      <alignment horizontal="right" vertical="center" wrapText="1"/>
    </xf>
    <xf numFmtId="1" fontId="13" fillId="11" borderId="13" xfId="0" applyNumberFormat="1" applyFont="1" applyFill="1" applyBorder="1" applyAlignment="1">
      <alignment horizontal="right" vertical="center" wrapText="1"/>
    </xf>
    <xf numFmtId="1" fontId="13" fillId="3" borderId="19" xfId="0" applyNumberFormat="1" applyFont="1" applyFill="1" applyBorder="1" applyAlignment="1">
      <alignment horizontal="right"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0" fontId="13" fillId="2" borderId="33" xfId="0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vertical="center" wrapText="1"/>
    </xf>
    <xf numFmtId="3" fontId="13" fillId="2" borderId="24" xfId="0" applyNumberFormat="1" applyFont="1" applyFill="1" applyBorder="1" applyAlignment="1">
      <alignment vertical="center" wrapText="1"/>
    </xf>
    <xf numFmtId="3" fontId="13" fillId="2" borderId="8" xfId="1" applyNumberFormat="1" applyFont="1" applyFill="1" applyBorder="1" applyAlignment="1">
      <alignment vertical="center" wrapText="1"/>
    </xf>
    <xf numFmtId="3" fontId="13" fillId="2" borderId="2" xfId="1" applyNumberFormat="1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vertical="center" wrapText="1"/>
    </xf>
    <xf numFmtId="3" fontId="13" fillId="2" borderId="60" xfId="0" applyNumberFormat="1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 shrinkToFit="1"/>
    </xf>
    <xf numFmtId="0" fontId="26" fillId="2" borderId="9" xfId="0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vertical="center" wrapText="1"/>
    </xf>
    <xf numFmtId="3" fontId="14" fillId="2" borderId="9" xfId="1" applyNumberFormat="1" applyFont="1" applyFill="1" applyBorder="1" applyAlignment="1">
      <alignment vertical="center" wrapText="1"/>
    </xf>
    <xf numFmtId="3" fontId="14" fillId="2" borderId="22" xfId="1" applyNumberFormat="1" applyFont="1" applyFill="1" applyBorder="1" applyAlignment="1">
      <alignment vertical="center" wrapText="1"/>
    </xf>
    <xf numFmtId="3" fontId="14" fillId="2" borderId="4" xfId="1" applyNumberFormat="1" applyFont="1" applyFill="1" applyBorder="1" applyAlignment="1">
      <alignment horizontal="right" vertical="center" wrapText="1"/>
    </xf>
    <xf numFmtId="3" fontId="14" fillId="2" borderId="22" xfId="1" applyNumberFormat="1" applyFont="1" applyFill="1" applyBorder="1" applyAlignment="1">
      <alignment horizontal="right" vertical="center" wrapText="1"/>
    </xf>
    <xf numFmtId="3" fontId="14" fillId="2" borderId="0" xfId="1" applyNumberFormat="1" applyFont="1" applyFill="1" applyBorder="1" applyAlignment="1">
      <alignment horizontal="right" vertical="center" wrapText="1"/>
    </xf>
    <xf numFmtId="3" fontId="13" fillId="2" borderId="59" xfId="0" applyNumberFormat="1" applyFont="1" applyFill="1" applyBorder="1" applyAlignment="1">
      <alignment vertical="center" wrapText="1"/>
    </xf>
    <xf numFmtId="3" fontId="13" fillId="2" borderId="51" xfId="0" applyNumberFormat="1" applyFont="1" applyFill="1" applyBorder="1" applyAlignment="1">
      <alignment vertical="center" wrapText="1"/>
    </xf>
    <xf numFmtId="3" fontId="13" fillId="2" borderId="49" xfId="0" applyNumberFormat="1" applyFont="1" applyFill="1" applyBorder="1" applyAlignment="1">
      <alignment vertical="center" wrapText="1"/>
    </xf>
    <xf numFmtId="49" fontId="14" fillId="2" borderId="23" xfId="0" applyNumberFormat="1" applyFont="1" applyFill="1" applyBorder="1" applyAlignment="1">
      <alignment horizontal="center" vertical="center" wrapText="1" shrinkToFit="1"/>
    </xf>
    <xf numFmtId="0" fontId="26" fillId="2" borderId="24" xfId="1" applyFont="1" applyFill="1" applyBorder="1" applyAlignment="1">
      <alignment horizontal="center" vertical="center" wrapText="1"/>
    </xf>
    <xf numFmtId="3" fontId="14" fillId="2" borderId="23" xfId="1" applyNumberFormat="1" applyFont="1" applyFill="1" applyBorder="1" applyAlignment="1">
      <alignment vertical="center" wrapText="1"/>
    </xf>
    <xf numFmtId="3" fontId="14" fillId="2" borderId="27" xfId="1" applyNumberFormat="1" applyFont="1" applyFill="1" applyBorder="1" applyAlignment="1">
      <alignment vertical="center" wrapText="1"/>
    </xf>
    <xf numFmtId="3" fontId="14" fillId="2" borderId="23" xfId="1" applyNumberFormat="1" applyFont="1" applyFill="1" applyBorder="1" applyAlignment="1">
      <alignment horizontal="right" vertical="center" wrapText="1"/>
    </xf>
    <xf numFmtId="3" fontId="14" fillId="2" borderId="27" xfId="1" applyNumberFormat="1" applyFont="1" applyFill="1" applyBorder="1" applyAlignment="1">
      <alignment horizontal="right" vertical="center" wrapText="1"/>
    </xf>
    <xf numFmtId="3" fontId="13" fillId="2" borderId="44" xfId="0" applyNumberFormat="1" applyFont="1" applyFill="1" applyBorder="1" applyAlignment="1">
      <alignment vertical="center" wrapText="1"/>
    </xf>
    <xf numFmtId="3" fontId="13" fillId="2" borderId="23" xfId="0" applyNumberFormat="1" applyFont="1" applyFill="1" applyBorder="1" applyAlignment="1">
      <alignment horizontal="right" vertical="center" wrapText="1"/>
    </xf>
    <xf numFmtId="3" fontId="13" fillId="2" borderId="27" xfId="0" applyNumberFormat="1" applyFont="1" applyFill="1" applyBorder="1" applyAlignment="1">
      <alignment horizontal="right" vertical="center" wrapText="1"/>
    </xf>
    <xf numFmtId="3" fontId="13" fillId="2" borderId="9" xfId="0" applyNumberFormat="1" applyFont="1" applyFill="1" applyBorder="1" applyAlignment="1">
      <alignment vertical="center" wrapText="1"/>
    </xf>
    <xf numFmtId="3" fontId="13" fillId="2" borderId="27" xfId="1" applyNumberFormat="1" applyFont="1" applyFill="1" applyBorder="1" applyAlignment="1">
      <alignment vertical="center" wrapText="1"/>
    </xf>
    <xf numFmtId="49" fontId="13" fillId="2" borderId="44" xfId="0" applyNumberFormat="1" applyFont="1" applyFill="1" applyBorder="1" applyAlignment="1">
      <alignment horizontal="center" vertical="center" wrapText="1"/>
    </xf>
    <xf numFmtId="49" fontId="13" fillId="2" borderId="50" xfId="0" applyNumberFormat="1" applyFont="1" applyFill="1" applyBorder="1" applyAlignment="1">
      <alignment horizontal="center" vertical="center" wrapText="1"/>
    </xf>
    <xf numFmtId="3" fontId="14" fillId="2" borderId="26" xfId="1" applyNumberFormat="1" applyFont="1" applyFill="1" applyBorder="1" applyAlignment="1">
      <alignment horizontal="right" vertical="center" wrapText="1"/>
    </xf>
    <xf numFmtId="3" fontId="14" fillId="2" borderId="37" xfId="1" applyNumberFormat="1" applyFont="1" applyFill="1" applyBorder="1" applyAlignment="1">
      <alignment horizontal="right" vertical="center" wrapText="1"/>
    </xf>
    <xf numFmtId="49" fontId="13" fillId="2" borderId="36" xfId="0" applyNumberFormat="1" applyFont="1" applyFill="1" applyBorder="1" applyAlignment="1">
      <alignment horizontal="center" vertical="center" wrapText="1"/>
    </xf>
    <xf numFmtId="49" fontId="13" fillId="2" borderId="42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horizontal="right" vertical="center" wrapText="1"/>
    </xf>
    <xf numFmtId="3" fontId="14" fillId="0" borderId="9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horizontal="right" vertical="center" wrapText="1"/>
    </xf>
    <xf numFmtId="3" fontId="9" fillId="2" borderId="45" xfId="0" applyNumberFormat="1" applyFont="1" applyFill="1" applyBorder="1" applyAlignment="1">
      <alignment horizontal="right" vertical="center" wrapText="1"/>
    </xf>
    <xf numFmtId="3" fontId="28" fillId="0" borderId="29" xfId="0" applyNumberFormat="1" applyFont="1" applyFill="1" applyBorder="1" applyAlignment="1">
      <alignment horizontal="right" vertical="center" wrapText="1"/>
    </xf>
    <xf numFmtId="3" fontId="9" fillId="0" borderId="45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2" fillId="0" borderId="45" xfId="0" applyNumberFormat="1" applyFont="1" applyFill="1" applyBorder="1" applyAlignment="1">
      <alignment horizontal="right" vertical="center" wrapText="1"/>
    </xf>
    <xf numFmtId="3" fontId="9" fillId="5" borderId="9" xfId="0" applyNumberFormat="1" applyFont="1" applyFill="1" applyBorder="1" applyAlignment="1">
      <alignment horizontal="right" vertical="center" wrapText="1"/>
    </xf>
    <xf numFmtId="3" fontId="11" fillId="2" borderId="24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11" fillId="2" borderId="29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7" fillId="12" borderId="9" xfId="0" applyNumberFormat="1" applyFont="1" applyFill="1" applyBorder="1" applyAlignment="1">
      <alignment horizontal="right" vertical="center" wrapText="1"/>
    </xf>
    <xf numFmtId="3" fontId="7" fillId="2" borderId="22" xfId="0" applyNumberFormat="1" applyFont="1" applyFill="1" applyBorder="1" applyAlignment="1">
      <alignment horizontal="right" vertical="center" wrapText="1"/>
    </xf>
    <xf numFmtId="3" fontId="15" fillId="0" borderId="33" xfId="0" applyNumberFormat="1" applyFont="1" applyFill="1" applyBorder="1" applyAlignment="1">
      <alignment horizontal="righ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Fill="1" applyBorder="1" applyAlignment="1">
      <alignment horizontal="right" vertical="center" wrapText="1"/>
    </xf>
    <xf numFmtId="3" fontId="16" fillId="2" borderId="3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5" fillId="0" borderId="23" xfId="0" applyNumberFormat="1" applyFont="1" applyFill="1" applyBorder="1" applyAlignment="1">
      <alignment horizontal="right" vertical="center" wrapText="1"/>
    </xf>
    <xf numFmtId="3" fontId="13" fillId="0" borderId="2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13" fillId="2" borderId="23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3" fontId="13" fillId="0" borderId="33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3" fontId="7" fillId="8" borderId="14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0" fillId="2" borderId="12" xfId="0" applyFill="1" applyBorder="1"/>
    <xf numFmtId="0" fontId="22" fillId="15" borderId="12" xfId="0" applyFont="1" applyFill="1" applyBorder="1" applyAlignment="1">
      <alignment vertical="center"/>
    </xf>
    <xf numFmtId="0" fontId="18" fillId="15" borderId="5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2" fillId="15" borderId="6" xfId="0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27" fillId="15" borderId="16" xfId="0" applyFont="1" applyFill="1" applyBorder="1" applyAlignment="1">
      <alignment horizontal="center" vertical="center"/>
    </xf>
    <xf numFmtId="3" fontId="22" fillId="15" borderId="16" xfId="0" applyNumberFormat="1" applyFont="1" applyFill="1" applyBorder="1" applyAlignment="1">
      <alignment horizontal="right" vertical="center"/>
    </xf>
    <xf numFmtId="3" fontId="22" fillId="15" borderId="29" xfId="0" applyNumberFormat="1" applyFont="1" applyFill="1" applyBorder="1" applyAlignment="1">
      <alignment horizontal="right" vertical="center"/>
    </xf>
    <xf numFmtId="3" fontId="22" fillId="15" borderId="6" xfId="0" applyNumberFormat="1" applyFont="1" applyFill="1" applyBorder="1" applyAlignment="1">
      <alignment horizontal="right" vertical="center"/>
    </xf>
    <xf numFmtId="0" fontId="22" fillId="15" borderId="30" xfId="0" applyFont="1" applyFill="1" applyBorder="1" applyAlignment="1">
      <alignment vertical="center"/>
    </xf>
    <xf numFmtId="0" fontId="18" fillId="15" borderId="1" xfId="0" applyFont="1" applyFill="1" applyBorder="1" applyAlignment="1">
      <alignment horizontal="center" vertical="center" wrapText="1"/>
    </xf>
    <xf numFmtId="0" fontId="27" fillId="15" borderId="1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15" borderId="12" xfId="0" applyFont="1" applyFill="1" applyBorder="1" applyAlignment="1">
      <alignment vertical="center" wrapText="1"/>
    </xf>
    <xf numFmtId="0" fontId="18" fillId="15" borderId="5" xfId="0" applyFont="1" applyFill="1" applyBorder="1" applyAlignment="1">
      <alignment vertical="center" wrapText="1"/>
    </xf>
    <xf numFmtId="0" fontId="18" fillId="15" borderId="72" xfId="0" applyFont="1" applyFill="1" applyBorder="1" applyAlignment="1">
      <alignment vertical="center" wrapText="1"/>
    </xf>
    <xf numFmtId="0" fontId="18" fillId="15" borderId="12" xfId="0" applyFont="1" applyFill="1" applyBorder="1" applyAlignment="1">
      <alignment vertical="center"/>
    </xf>
    <xf numFmtId="0" fontId="18" fillId="15" borderId="5" xfId="0" applyFont="1" applyFill="1" applyBorder="1" applyAlignment="1">
      <alignment vertical="center"/>
    </xf>
    <xf numFmtId="0" fontId="18" fillId="15" borderId="72" xfId="0" applyFont="1" applyFill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15" borderId="12" xfId="0" applyFont="1" applyFill="1" applyBorder="1" applyAlignment="1">
      <alignment vertical="center"/>
    </xf>
    <xf numFmtId="0" fontId="22" fillId="15" borderId="5" xfId="0" applyFont="1" applyFill="1" applyBorder="1" applyAlignment="1">
      <alignment vertical="center"/>
    </xf>
    <xf numFmtId="0" fontId="22" fillId="15" borderId="6" xfId="0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" fontId="9" fillId="11" borderId="1" xfId="0" applyNumberFormat="1" applyFont="1" applyFill="1" applyBorder="1" applyAlignment="1">
      <alignment horizontal="center" vertical="center" wrapText="1"/>
    </xf>
    <xf numFmtId="4" fontId="9" fillId="11" borderId="16" xfId="0" applyNumberFormat="1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49" fontId="9" fillId="6" borderId="14" xfId="0" applyNumberFormat="1" applyFont="1" applyFill="1" applyBorder="1" applyAlignment="1">
      <alignment horizontal="center" vertical="center" wrapText="1"/>
    </xf>
    <xf numFmtId="4" fontId="9" fillId="6" borderId="28" xfId="0" applyNumberFormat="1" applyFont="1" applyFill="1" applyBorder="1" applyAlignment="1">
      <alignment horizontal="center" vertical="center" wrapText="1"/>
    </xf>
    <xf numFmtId="4" fontId="9" fillId="6" borderId="0" xfId="0" applyNumberFormat="1" applyFont="1" applyFill="1" applyBorder="1" applyAlignment="1">
      <alignment horizontal="center" vertical="center" wrapText="1"/>
    </xf>
    <xf numFmtId="4" fontId="9" fillId="6" borderId="29" xfId="0" applyNumberFormat="1" applyFont="1" applyFill="1" applyBorder="1" applyAlignment="1">
      <alignment horizontal="center" vertical="center" wrapText="1"/>
    </xf>
    <xf numFmtId="4" fontId="9" fillId="10" borderId="23" xfId="0" applyNumberFormat="1" applyFont="1" applyFill="1" applyBorder="1" applyAlignment="1">
      <alignment horizontal="center" vertical="center" wrapText="1"/>
    </xf>
    <xf numFmtId="4" fontId="9" fillId="10" borderId="13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9" fillId="9" borderId="12" xfId="0" applyNumberFormat="1" applyFont="1" applyFill="1" applyBorder="1" applyAlignment="1">
      <alignment horizontal="center" vertical="center" wrapText="1"/>
    </xf>
    <xf numFmtId="4" fontId="9" fillId="9" borderId="5" xfId="0" applyNumberFormat="1" applyFont="1" applyFill="1" applyBorder="1" applyAlignment="1">
      <alignment horizontal="center" vertical="center" wrapText="1"/>
    </xf>
    <xf numFmtId="4" fontId="9" fillId="9" borderId="6" xfId="0" applyNumberFormat="1" applyFont="1" applyFill="1" applyBorder="1" applyAlignment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center" wrapText="1"/>
    </xf>
    <xf numFmtId="4" fontId="9" fillId="7" borderId="14" xfId="0" applyNumberFormat="1" applyFont="1" applyFill="1" applyBorder="1" applyAlignment="1">
      <alignment horizontal="center" vertical="center" wrapText="1"/>
    </xf>
    <xf numFmtId="49" fontId="9" fillId="6" borderId="28" xfId="0" applyNumberFormat="1" applyFont="1" applyFill="1" applyBorder="1" applyAlignment="1">
      <alignment horizontal="center" vertical="center" wrapText="1"/>
    </xf>
    <xf numFmtId="49" fontId="9" fillId="6" borderId="30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5" borderId="4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3" fontId="10" fillId="6" borderId="12" xfId="1" applyNumberFormat="1" applyFont="1" applyFill="1" applyBorder="1" applyAlignment="1">
      <alignment horizontal="center" vertical="center"/>
    </xf>
    <xf numFmtId="3" fontId="10" fillId="6" borderId="5" xfId="1" applyNumberFormat="1" applyFont="1" applyFill="1" applyBorder="1" applyAlignment="1">
      <alignment horizontal="center" vertical="center"/>
    </xf>
    <xf numFmtId="3" fontId="10" fillId="6" borderId="6" xfId="1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 wrapText="1"/>
    </xf>
    <xf numFmtId="168" fontId="9" fillId="6" borderId="13" xfId="0" applyNumberFormat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2" borderId="56" xfId="0" applyNumberFormat="1" applyFont="1" applyFill="1" applyBorder="1" applyAlignment="1">
      <alignment horizontal="center" vertical="center" wrapText="1"/>
    </xf>
    <xf numFmtId="49" fontId="9" fillId="2" borderId="47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7" fillId="0" borderId="4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168" fontId="19" fillId="0" borderId="7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" fontId="9" fillId="13" borderId="30" xfId="0" applyNumberFormat="1" applyFont="1" applyFill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3" borderId="16" xfId="0" applyNumberFormat="1" applyFont="1" applyFill="1" applyBorder="1" applyAlignment="1">
      <alignment horizontal="center" vertical="center" wrapText="1"/>
    </xf>
    <xf numFmtId="0" fontId="9" fillId="14" borderId="22" xfId="1" applyFont="1" applyFill="1" applyBorder="1" applyAlignment="1">
      <alignment horizontal="center" vertical="center" wrapText="1"/>
    </xf>
    <xf numFmtId="0" fontId="9" fillId="14" borderId="14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3" fontId="9" fillId="5" borderId="14" xfId="1" applyNumberFormat="1" applyFont="1" applyFill="1" applyBorder="1" applyAlignment="1">
      <alignment horizontal="center" vertical="center" wrapText="1"/>
    </xf>
    <xf numFmtId="0" fontId="10" fillId="6" borderId="23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3" fontId="9" fillId="5" borderId="22" xfId="1" applyNumberFormat="1" applyFont="1" applyFill="1" applyBorder="1" applyAlignment="1">
      <alignment horizontal="center" vertical="center" wrapText="1"/>
    </xf>
  </cellXfs>
  <cellStyles count="13">
    <cellStyle name="Čárka 2" xfId="10" xr:uid="{00000000-0005-0000-0000-000000000000}"/>
    <cellStyle name="Čárka 2 3" xfId="9" xr:uid="{00000000-0005-0000-0000-000001000000}"/>
    <cellStyle name="Header" xfId="12" xr:uid="{00000000-0005-0000-0000-000002000000}"/>
    <cellStyle name="Normální" xfId="0" builtinId="0"/>
    <cellStyle name="Normální 10" xfId="4" xr:uid="{00000000-0005-0000-0000-000004000000}"/>
    <cellStyle name="Normální 2" xfId="2" xr:uid="{00000000-0005-0000-0000-000005000000}"/>
    <cellStyle name="Normální 2 123 2" xfId="7" xr:uid="{00000000-0005-0000-0000-000006000000}"/>
    <cellStyle name="Normální 2 2" xfId="8" xr:uid="{00000000-0005-0000-0000-000007000000}"/>
    <cellStyle name="Normální 3" xfId="11" xr:uid="{00000000-0005-0000-0000-000008000000}"/>
    <cellStyle name="Normální 31" xfId="6" xr:uid="{00000000-0005-0000-0000-000009000000}"/>
    <cellStyle name="Normální 5" xfId="5" xr:uid="{00000000-0005-0000-0000-00000A000000}"/>
    <cellStyle name="normální_List1" xfId="1" xr:uid="{00000000-0005-0000-0000-00000C000000}"/>
    <cellStyle name="normální_t 01" xfId="3" xr:uid="{00000000-0005-0000-0000-00000D000000}"/>
  </cellStyles>
  <dxfs count="0"/>
  <tableStyles count="0" defaultTableStyle="TableStyleMedium2" defaultPivotStyle="PivotStyleLight16"/>
  <colors>
    <mruColors>
      <color rgb="FFFFFF66"/>
      <color rgb="FFFFFF99"/>
      <color rgb="FF0000FB"/>
      <color rgb="FFE4DFEC"/>
      <color rgb="FFF385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453"/>
  <sheetViews>
    <sheetView tabSelected="1" topLeftCell="I1" zoomScale="80" zoomScaleNormal="80" workbookViewId="0">
      <pane ySplit="4" topLeftCell="A32" activePane="bottomLeft" state="frozen"/>
      <selection activeCell="D5" sqref="D5:D6"/>
      <selection pane="bottomLeft" activeCell="AE40" sqref="AE40"/>
    </sheetView>
  </sheetViews>
  <sheetFormatPr defaultRowHeight="15" x14ac:dyDescent="0.25"/>
  <cols>
    <col min="1" max="1" width="14.5703125" customWidth="1"/>
    <col min="2" max="2" width="8.85546875" customWidth="1"/>
    <col min="3" max="3" width="5.42578125" customWidth="1"/>
    <col min="4" max="4" width="32.5703125" customWidth="1"/>
    <col min="5" max="6" width="35.7109375" customWidth="1"/>
    <col min="7" max="7" width="48.42578125" customWidth="1"/>
    <col min="8" max="8" width="10.7109375" customWidth="1"/>
    <col min="9" max="9" width="9.5703125" customWidth="1"/>
    <col min="10" max="10" width="9.5703125" style="413" customWidth="1"/>
    <col min="11" max="11" width="9.28515625" style="869" customWidth="1"/>
    <col min="12" max="12" width="9.7109375" style="869" customWidth="1"/>
    <col min="13" max="13" width="9.42578125" style="869" customWidth="1"/>
    <col min="14" max="14" width="9.5703125" customWidth="1"/>
    <col min="15" max="15" width="9.28515625" customWidth="1"/>
    <col min="16" max="17" width="9.7109375" style="413" customWidth="1"/>
    <col min="18" max="18" width="11.28515625" customWidth="1"/>
    <col min="19" max="19" width="8.7109375" customWidth="1"/>
    <col min="20" max="20" width="12" customWidth="1"/>
    <col min="21" max="21" width="8" customWidth="1"/>
    <col min="22" max="22" width="8.28515625" customWidth="1"/>
    <col min="23" max="23" width="9.85546875" customWidth="1"/>
    <col min="24" max="24" width="9.7109375" customWidth="1"/>
    <col min="25" max="25" width="9.42578125" customWidth="1"/>
    <col min="26" max="26" width="10.42578125" customWidth="1"/>
    <col min="27" max="27" width="9.28515625" customWidth="1"/>
    <col min="28" max="28" width="9.7109375" customWidth="1"/>
    <col min="29" max="29" width="9.85546875" customWidth="1"/>
    <col min="30" max="30" width="9.7109375" style="237" customWidth="1"/>
    <col min="31" max="31" width="46.85546875" style="1109" customWidth="1"/>
    <col min="32" max="32" width="14.28515625" customWidth="1"/>
    <col min="33" max="33" width="11" customWidth="1"/>
    <col min="34" max="34" width="9.7109375" customWidth="1"/>
    <col min="35" max="35" width="9.5703125" customWidth="1"/>
  </cols>
  <sheetData>
    <row r="1" spans="1:35" s="1339" customFormat="1" ht="27.75" thickBot="1" x14ac:dyDescent="0.3">
      <c r="A1" s="2096"/>
      <c r="B1" s="1338"/>
      <c r="C1" s="1338"/>
      <c r="D1" s="1338"/>
      <c r="E1" s="1338"/>
      <c r="F1" s="1338"/>
      <c r="G1" s="1340" t="s">
        <v>1221</v>
      </c>
      <c r="H1" s="1338"/>
      <c r="I1" s="1338"/>
      <c r="J1" s="1341"/>
      <c r="K1" s="1993"/>
      <c r="L1" s="1924"/>
      <c r="M1" s="1993"/>
      <c r="N1" s="1338"/>
      <c r="O1" s="1338"/>
      <c r="P1" s="1341"/>
      <c r="Q1" s="1341"/>
      <c r="R1" s="1338"/>
      <c r="S1" s="1338"/>
      <c r="T1" s="1338"/>
      <c r="U1" s="1338"/>
      <c r="V1" s="1338"/>
      <c r="W1" s="1338"/>
      <c r="X1" s="1338"/>
      <c r="Y1" s="1338"/>
      <c r="Z1" s="1338"/>
      <c r="AA1" s="1338"/>
      <c r="AB1" s="1338"/>
      <c r="AC1" s="1338"/>
      <c r="AD1" s="1342"/>
      <c r="AE1" s="1993"/>
      <c r="AF1" s="2124" t="s">
        <v>551</v>
      </c>
      <c r="AG1" s="2125"/>
      <c r="AH1" s="2125"/>
      <c r="AI1" s="2125"/>
    </row>
    <row r="2" spans="1:35" ht="15.75" thickBot="1" x14ac:dyDescent="0.3">
      <c r="A2" s="2160" t="s">
        <v>1</v>
      </c>
      <c r="B2" s="2160" t="s">
        <v>2</v>
      </c>
      <c r="C2" s="2153" t="s">
        <v>872</v>
      </c>
      <c r="D2" s="2155" t="s">
        <v>873</v>
      </c>
      <c r="E2" s="2162" t="s">
        <v>3</v>
      </c>
      <c r="F2" s="2162" t="s">
        <v>4</v>
      </c>
      <c r="G2" s="2189" t="s">
        <v>5</v>
      </c>
      <c r="H2" s="2186" t="s">
        <v>6</v>
      </c>
      <c r="I2" s="2184" t="s">
        <v>992</v>
      </c>
      <c r="J2" s="2191" t="s">
        <v>1471</v>
      </c>
      <c r="K2" s="2187" t="s">
        <v>1472</v>
      </c>
      <c r="L2" s="2187" t="s">
        <v>1452</v>
      </c>
      <c r="M2" s="2187" t="s">
        <v>1450</v>
      </c>
      <c r="N2" s="2181" t="s">
        <v>993</v>
      </c>
      <c r="O2" s="2182"/>
      <c r="P2" s="2182"/>
      <c r="Q2" s="2183"/>
      <c r="R2" s="2126" t="s">
        <v>1123</v>
      </c>
      <c r="S2" s="2126"/>
      <c r="T2" s="2127"/>
      <c r="U2" s="2139" t="s">
        <v>1126</v>
      </c>
      <c r="V2" s="2140"/>
      <c r="W2" s="2140"/>
      <c r="X2" s="2141"/>
      <c r="Y2" s="2137" t="s">
        <v>968</v>
      </c>
      <c r="Z2" s="2135" t="s">
        <v>567</v>
      </c>
      <c r="AA2" s="2132" t="s">
        <v>7</v>
      </c>
      <c r="AB2" s="2133"/>
      <c r="AC2" s="2134"/>
      <c r="AD2" s="2142" t="s">
        <v>1470</v>
      </c>
      <c r="AE2" s="2179" t="s">
        <v>1498</v>
      </c>
      <c r="AF2" s="2128" t="s">
        <v>1130</v>
      </c>
      <c r="AG2" s="2130" t="s">
        <v>868</v>
      </c>
      <c r="AH2" s="2144" t="s">
        <v>495</v>
      </c>
      <c r="AI2" s="2130" t="s">
        <v>496</v>
      </c>
    </row>
    <row r="3" spans="1:35" ht="77.25" thickBot="1" x14ac:dyDescent="0.3">
      <c r="A3" s="2161"/>
      <c r="B3" s="2161"/>
      <c r="C3" s="2154"/>
      <c r="D3" s="2156"/>
      <c r="E3" s="2163"/>
      <c r="F3" s="2163"/>
      <c r="G3" s="2190"/>
      <c r="H3" s="2163"/>
      <c r="I3" s="2185"/>
      <c r="J3" s="2188"/>
      <c r="K3" s="2188"/>
      <c r="L3" s="2188"/>
      <c r="M3" s="2188"/>
      <c r="N3" s="722" t="s">
        <v>769</v>
      </c>
      <c r="O3" s="721" t="s">
        <v>770</v>
      </c>
      <c r="P3" s="1965" t="s">
        <v>869</v>
      </c>
      <c r="Q3" s="1966" t="s">
        <v>870</v>
      </c>
      <c r="R3" s="830" t="s">
        <v>1236</v>
      </c>
      <c r="S3" s="100" t="s">
        <v>1235</v>
      </c>
      <c r="T3" s="843" t="s">
        <v>1237</v>
      </c>
      <c r="U3" s="846" t="s">
        <v>769</v>
      </c>
      <c r="V3" s="847" t="s">
        <v>770</v>
      </c>
      <c r="W3" s="847" t="s">
        <v>869</v>
      </c>
      <c r="X3" s="848" t="s">
        <v>870</v>
      </c>
      <c r="Y3" s="2138"/>
      <c r="Z3" s="2136"/>
      <c r="AA3" s="183" t="s">
        <v>640</v>
      </c>
      <c r="AB3" s="183" t="s">
        <v>1241</v>
      </c>
      <c r="AC3" s="183" t="s">
        <v>639</v>
      </c>
      <c r="AD3" s="2143"/>
      <c r="AE3" s="2180"/>
      <c r="AF3" s="2129"/>
      <c r="AG3" s="2131"/>
      <c r="AH3" s="2145"/>
      <c r="AI3" s="2131"/>
    </row>
    <row r="4" spans="1:35" s="756" customFormat="1" ht="16.5" thickBot="1" x14ac:dyDescent="0.3">
      <c r="A4" s="740"/>
      <c r="B4" s="740"/>
      <c r="C4" s="724"/>
      <c r="D4" s="55"/>
      <c r="E4" s="725"/>
      <c r="F4" s="726"/>
      <c r="G4" s="727"/>
      <c r="H4" s="725"/>
      <c r="I4" s="725"/>
      <c r="J4" s="797"/>
      <c r="K4" s="1536"/>
      <c r="L4" s="797"/>
      <c r="M4" s="1536"/>
      <c r="N4" s="857"/>
      <c r="O4" s="729"/>
      <c r="P4" s="1967"/>
      <c r="Q4" s="1968"/>
      <c r="R4" s="758"/>
      <c r="S4" s="1970"/>
      <c r="T4" s="733"/>
      <c r="U4" s="728"/>
      <c r="V4" s="730"/>
      <c r="W4" s="730"/>
      <c r="X4" s="731"/>
      <c r="Y4" s="732"/>
      <c r="Z4" s="732"/>
      <c r="AA4" s="758"/>
      <c r="AB4" s="730"/>
      <c r="AC4" s="731"/>
      <c r="AD4" s="734"/>
      <c r="AE4" s="1108"/>
      <c r="AF4" s="724"/>
      <c r="AG4" s="1829"/>
      <c r="AH4" s="1828"/>
      <c r="AI4" s="723"/>
    </row>
    <row r="5" spans="1:35" ht="60" x14ac:dyDescent="0.25">
      <c r="A5" s="1734" t="s">
        <v>8</v>
      </c>
      <c r="B5" s="1735" t="s">
        <v>9</v>
      </c>
      <c r="C5" s="453">
        <v>2016</v>
      </c>
      <c r="D5" s="453" t="s">
        <v>10</v>
      </c>
      <c r="E5" s="1736" t="s">
        <v>11</v>
      </c>
      <c r="F5" s="1071" t="s">
        <v>11</v>
      </c>
      <c r="G5" s="1224" t="s">
        <v>12</v>
      </c>
      <c r="H5" s="543">
        <v>17500</v>
      </c>
      <c r="I5" s="809">
        <v>11274.01528</v>
      </c>
      <c r="J5" s="1207">
        <v>0</v>
      </c>
      <c r="K5" s="1837">
        <v>0</v>
      </c>
      <c r="L5" s="1838">
        <v>1972.3</v>
      </c>
      <c r="M5" s="1838">
        <v>0</v>
      </c>
      <c r="N5" s="1612">
        <v>0</v>
      </c>
      <c r="O5" s="1103">
        <v>0</v>
      </c>
      <c r="P5" s="907">
        <v>0</v>
      </c>
      <c r="Q5" s="586">
        <v>1972.2847200000001</v>
      </c>
      <c r="R5" s="1468">
        <v>2225.9847199999999</v>
      </c>
      <c r="S5" s="1469">
        <v>-253.7</v>
      </c>
      <c r="T5" s="1468">
        <f>R5+S5</f>
        <v>1972.2847199999999</v>
      </c>
      <c r="U5" s="906">
        <v>0</v>
      </c>
      <c r="V5" s="907">
        <v>0</v>
      </c>
      <c r="W5" s="907">
        <v>253.7</v>
      </c>
      <c r="X5" s="586">
        <v>2000</v>
      </c>
      <c r="Y5" s="1737">
        <v>2253.6999999999998</v>
      </c>
      <c r="Z5" s="1104">
        <v>2000</v>
      </c>
      <c r="AA5" s="553">
        <v>0</v>
      </c>
      <c r="AB5" s="1604">
        <v>0</v>
      </c>
      <c r="AC5" s="580">
        <v>0</v>
      </c>
      <c r="AD5" s="1104">
        <v>0</v>
      </c>
      <c r="AE5" s="659" t="s">
        <v>1411</v>
      </c>
      <c r="AF5" s="453" t="s">
        <v>43</v>
      </c>
      <c r="AG5" s="1455" t="s">
        <v>491</v>
      </c>
      <c r="AH5" s="1081" t="s">
        <v>514</v>
      </c>
      <c r="AI5" s="1039" t="s">
        <v>514</v>
      </c>
    </row>
    <row r="6" spans="1:35" s="387" customFormat="1" ht="26.25" thickBot="1" x14ac:dyDescent="0.3">
      <c r="A6" s="1738" t="s">
        <v>14</v>
      </c>
      <c r="B6" s="949" t="s">
        <v>485</v>
      </c>
      <c r="C6" s="636">
        <v>2018</v>
      </c>
      <c r="D6" s="582" t="s">
        <v>497</v>
      </c>
      <c r="E6" s="1739" t="s">
        <v>11</v>
      </c>
      <c r="F6" s="1097" t="s">
        <v>11</v>
      </c>
      <c r="G6" s="1457" t="s">
        <v>15</v>
      </c>
      <c r="H6" s="583">
        <f>7000+18294.97</f>
        <v>25294.97</v>
      </c>
      <c r="I6" s="952">
        <v>1520.97</v>
      </c>
      <c r="J6" s="583">
        <v>0</v>
      </c>
      <c r="K6" s="1906">
        <v>0</v>
      </c>
      <c r="L6" s="1459">
        <v>0</v>
      </c>
      <c r="M6" s="1459">
        <v>0</v>
      </c>
      <c r="N6" s="955">
        <f>352.38-352.38</f>
        <v>0</v>
      </c>
      <c r="O6" s="1099">
        <v>0</v>
      </c>
      <c r="P6" s="956"/>
      <c r="Q6" s="1038">
        <v>2057</v>
      </c>
      <c r="R6" s="1460">
        <v>7773.9999999999991</v>
      </c>
      <c r="S6" s="1461">
        <v>-5717</v>
      </c>
      <c r="T6" s="1460">
        <f>R6+S6</f>
        <v>2056.9999999999991</v>
      </c>
      <c r="U6" s="955">
        <v>0</v>
      </c>
      <c r="V6" s="956">
        <v>0</v>
      </c>
      <c r="W6" s="956">
        <v>5717</v>
      </c>
      <c r="X6" s="1038">
        <v>8000</v>
      </c>
      <c r="Y6" s="1460">
        <v>13717</v>
      </c>
      <c r="Z6" s="1100">
        <v>8000</v>
      </c>
      <c r="AA6" s="629">
        <v>0</v>
      </c>
      <c r="AB6" s="956">
        <v>0</v>
      </c>
      <c r="AC6" s="957">
        <v>0</v>
      </c>
      <c r="AD6" s="1100">
        <v>0</v>
      </c>
      <c r="AE6" s="1666" t="s">
        <v>1412</v>
      </c>
      <c r="AF6" s="582" t="s">
        <v>43</v>
      </c>
      <c r="AG6" s="1015" t="s">
        <v>491</v>
      </c>
      <c r="AH6" s="1015" t="s">
        <v>514</v>
      </c>
      <c r="AI6" s="1016" t="s">
        <v>514</v>
      </c>
    </row>
    <row r="7" spans="1:35" s="391" customFormat="1" ht="25.5" x14ac:dyDescent="0.25">
      <c r="A7" s="1740" t="s">
        <v>862</v>
      </c>
      <c r="B7" s="1735" t="s">
        <v>494</v>
      </c>
      <c r="C7" s="1741">
        <v>2019</v>
      </c>
      <c r="D7" s="550" t="s">
        <v>969</v>
      </c>
      <c r="E7" s="550" t="s">
        <v>11</v>
      </c>
      <c r="F7" s="1071" t="s">
        <v>11</v>
      </c>
      <c r="G7" s="1742" t="s">
        <v>865</v>
      </c>
      <c r="H7" s="1207">
        <v>1300</v>
      </c>
      <c r="I7" s="1072">
        <v>0</v>
      </c>
      <c r="J7" s="543">
        <v>0</v>
      </c>
      <c r="K7" s="1837">
        <v>0</v>
      </c>
      <c r="L7" s="1448">
        <v>0</v>
      </c>
      <c r="M7" s="1838">
        <v>0</v>
      </c>
      <c r="N7" s="1612">
        <v>0</v>
      </c>
      <c r="O7" s="1103">
        <v>0</v>
      </c>
      <c r="P7" s="907">
        <v>0</v>
      </c>
      <c r="Q7" s="1596">
        <v>0</v>
      </c>
      <c r="R7" s="1468">
        <v>1300</v>
      </c>
      <c r="S7" s="1469">
        <v>-1300</v>
      </c>
      <c r="T7" s="1468">
        <f>R7+S7</f>
        <v>0</v>
      </c>
      <c r="U7" s="906">
        <v>1300</v>
      </c>
      <c r="V7" s="907">
        <v>0</v>
      </c>
      <c r="W7" s="907">
        <v>0</v>
      </c>
      <c r="X7" s="586">
        <v>0</v>
      </c>
      <c r="Y7" s="1743">
        <v>1300</v>
      </c>
      <c r="Z7" s="1744">
        <v>0</v>
      </c>
      <c r="AA7" s="545">
        <v>0</v>
      </c>
      <c r="AB7" s="1604">
        <v>0</v>
      </c>
      <c r="AC7" s="1744">
        <v>0</v>
      </c>
      <c r="AD7" s="2049">
        <v>0</v>
      </c>
      <c r="AE7" s="1454" t="s">
        <v>1299</v>
      </c>
      <c r="AF7" s="550" t="s">
        <v>19</v>
      </c>
      <c r="AG7" s="1081" t="s">
        <v>609</v>
      </c>
      <c r="AH7" s="1081" t="s">
        <v>513</v>
      </c>
      <c r="AI7" s="1039" t="s">
        <v>513</v>
      </c>
    </row>
    <row r="8" spans="1:35" s="756" customFormat="1" ht="15.75" thickBot="1" x14ac:dyDescent="0.3">
      <c r="A8" s="492" t="s">
        <v>544</v>
      </c>
      <c r="B8" s="126" t="s">
        <v>544</v>
      </c>
      <c r="C8" s="125" t="s">
        <v>544</v>
      </c>
      <c r="D8" s="125" t="s">
        <v>544</v>
      </c>
      <c r="E8" s="86" t="s">
        <v>544</v>
      </c>
      <c r="F8" s="86" t="s">
        <v>544</v>
      </c>
      <c r="G8" s="508" t="s">
        <v>544</v>
      </c>
      <c r="H8" s="46" t="s">
        <v>544</v>
      </c>
      <c r="I8" s="467" t="s">
        <v>544</v>
      </c>
      <c r="J8" s="6" t="s">
        <v>544</v>
      </c>
      <c r="K8" s="6" t="s">
        <v>544</v>
      </c>
      <c r="L8" s="6" t="s">
        <v>544</v>
      </c>
      <c r="M8" s="6" t="s">
        <v>544</v>
      </c>
      <c r="N8" s="467" t="s">
        <v>544</v>
      </c>
      <c r="O8" s="160" t="s">
        <v>544</v>
      </c>
      <c r="P8" s="203" t="s">
        <v>544</v>
      </c>
      <c r="Q8" s="344" t="s">
        <v>544</v>
      </c>
      <c r="R8" s="1270" t="s">
        <v>544</v>
      </c>
      <c r="S8" s="1271" t="s">
        <v>544</v>
      </c>
      <c r="T8" s="1270" t="s">
        <v>544</v>
      </c>
      <c r="U8" s="1281" t="s">
        <v>544</v>
      </c>
      <c r="V8" s="860" t="s">
        <v>544</v>
      </c>
      <c r="W8" s="860" t="s">
        <v>544</v>
      </c>
      <c r="X8" s="875" t="s">
        <v>544</v>
      </c>
      <c r="Y8" s="866" t="s">
        <v>544</v>
      </c>
      <c r="Z8" s="876" t="s">
        <v>544</v>
      </c>
      <c r="AA8" s="1309" t="s">
        <v>544</v>
      </c>
      <c r="AB8" s="860" t="s">
        <v>544</v>
      </c>
      <c r="AC8" s="876" t="s">
        <v>544</v>
      </c>
      <c r="AD8" s="876" t="s">
        <v>544</v>
      </c>
      <c r="AE8" s="876" t="s">
        <v>544</v>
      </c>
      <c r="AF8" s="125" t="s">
        <v>544</v>
      </c>
      <c r="AG8" s="195" t="s">
        <v>544</v>
      </c>
      <c r="AH8" s="195" t="s">
        <v>544</v>
      </c>
      <c r="AI8" s="186" t="s">
        <v>544</v>
      </c>
    </row>
    <row r="9" spans="1:35" ht="41.25" customHeight="1" thickBot="1" x14ac:dyDescent="0.3">
      <c r="A9" s="705" t="s">
        <v>484</v>
      </c>
      <c r="B9" s="706" t="s">
        <v>484</v>
      </c>
      <c r="C9" s="139" t="s">
        <v>484</v>
      </c>
      <c r="D9" s="112" t="s">
        <v>484</v>
      </c>
      <c r="E9" s="139" t="s">
        <v>484</v>
      </c>
      <c r="F9" s="140" t="s">
        <v>484</v>
      </c>
      <c r="G9" s="788" t="s">
        <v>562</v>
      </c>
      <c r="H9" s="96">
        <f t="shared" ref="H9:I9" si="0">SUM(H5:H8)</f>
        <v>44094.97</v>
      </c>
      <c r="I9" s="96">
        <f t="shared" si="0"/>
        <v>12794.985279999999</v>
      </c>
      <c r="J9" s="96">
        <f>SUM(J5:J8)</f>
        <v>0</v>
      </c>
      <c r="K9" s="827">
        <f>SUM(K5:K8)</f>
        <v>0</v>
      </c>
      <c r="L9" s="827">
        <f>SUM(L5:L8)</f>
        <v>1972.3</v>
      </c>
      <c r="M9" s="827">
        <f>SUM(M5:M8)</f>
        <v>0</v>
      </c>
      <c r="N9" s="96">
        <f t="shared" ref="N9" si="1">SUM(N5:N8)</f>
        <v>0</v>
      </c>
      <c r="O9" s="96">
        <f t="shared" ref="O9:AD9" si="2">SUM(O5:O8)</f>
        <v>0</v>
      </c>
      <c r="P9" s="96">
        <f t="shared" si="2"/>
        <v>0</v>
      </c>
      <c r="Q9" s="293">
        <f t="shared" si="2"/>
        <v>4029.2847200000001</v>
      </c>
      <c r="R9" s="1272">
        <v>11299.984719999999</v>
      </c>
      <c r="S9" s="1273">
        <f t="shared" si="2"/>
        <v>-7270.7</v>
      </c>
      <c r="T9" s="1272">
        <f t="shared" si="2"/>
        <v>4029.2847199999987</v>
      </c>
      <c r="U9" s="854">
        <f t="shared" si="2"/>
        <v>1300</v>
      </c>
      <c r="V9" s="855">
        <f t="shared" si="2"/>
        <v>0</v>
      </c>
      <c r="W9" s="855">
        <f t="shared" si="2"/>
        <v>5970.7</v>
      </c>
      <c r="X9" s="684">
        <f t="shared" si="2"/>
        <v>10000</v>
      </c>
      <c r="Y9" s="96">
        <f t="shared" si="2"/>
        <v>17270.7</v>
      </c>
      <c r="Z9" s="96">
        <f t="shared" si="2"/>
        <v>10000</v>
      </c>
      <c r="AA9" s="293">
        <f t="shared" si="2"/>
        <v>0</v>
      </c>
      <c r="AB9" s="855">
        <f t="shared" si="2"/>
        <v>0</v>
      </c>
      <c r="AC9" s="292">
        <f t="shared" si="2"/>
        <v>0</v>
      </c>
      <c r="AD9" s="856">
        <f t="shared" si="2"/>
        <v>0</v>
      </c>
      <c r="AE9" s="120" t="s">
        <v>1487</v>
      </c>
      <c r="AF9" s="97" t="s">
        <v>484</v>
      </c>
      <c r="AG9" s="513" t="s">
        <v>484</v>
      </c>
      <c r="AH9" s="254" t="s">
        <v>484</v>
      </c>
      <c r="AI9" s="102" t="s">
        <v>484</v>
      </c>
    </row>
    <row r="10" spans="1:35" ht="25.5" x14ac:dyDescent="0.25">
      <c r="A10" s="59" t="s">
        <v>16</v>
      </c>
      <c r="B10" s="115" t="s">
        <v>17</v>
      </c>
      <c r="C10" s="4">
        <v>2011</v>
      </c>
      <c r="D10" s="5" t="s">
        <v>635</v>
      </c>
      <c r="E10" s="60" t="s">
        <v>11</v>
      </c>
      <c r="F10" s="769" t="s">
        <v>11</v>
      </c>
      <c r="G10" s="143" t="s">
        <v>18</v>
      </c>
      <c r="H10" s="110">
        <v>55142</v>
      </c>
      <c r="I10" s="50">
        <v>42341.813999999998</v>
      </c>
      <c r="J10" s="1">
        <v>0</v>
      </c>
      <c r="K10" s="412">
        <v>0</v>
      </c>
      <c r="L10" s="839">
        <v>0</v>
      </c>
      <c r="M10" s="839">
        <v>0</v>
      </c>
      <c r="N10" s="849">
        <v>0</v>
      </c>
      <c r="O10" s="331">
        <v>0</v>
      </c>
      <c r="P10" s="347">
        <v>0</v>
      </c>
      <c r="Q10" s="27">
        <v>100</v>
      </c>
      <c r="R10" s="1263">
        <v>8800.1860000000015</v>
      </c>
      <c r="S10" s="1262">
        <v>-8700.1859999999997</v>
      </c>
      <c r="T10" s="1263">
        <f t="shared" ref="T10:T24" si="3">R10+S10</f>
        <v>100.00000000000182</v>
      </c>
      <c r="U10" s="849">
        <v>4000</v>
      </c>
      <c r="V10" s="347">
        <v>8700.1859999999997</v>
      </c>
      <c r="W10" s="347">
        <v>0</v>
      </c>
      <c r="X10" s="27">
        <v>0</v>
      </c>
      <c r="Y10" s="639">
        <v>12700.186</v>
      </c>
      <c r="Z10" s="2">
        <v>0</v>
      </c>
      <c r="AA10" s="41">
        <v>0</v>
      </c>
      <c r="AB10" s="267">
        <v>0</v>
      </c>
      <c r="AC10" s="2">
        <v>0</v>
      </c>
      <c r="AD10" s="43">
        <v>0</v>
      </c>
      <c r="AE10" s="977" t="s">
        <v>484</v>
      </c>
      <c r="AF10" s="4" t="s">
        <v>19</v>
      </c>
      <c r="AG10" s="192" t="s">
        <v>616</v>
      </c>
      <c r="AH10" s="193" t="s">
        <v>513</v>
      </c>
      <c r="AI10" s="104" t="s">
        <v>513</v>
      </c>
    </row>
    <row r="11" spans="1:35" ht="25.5" x14ac:dyDescent="0.25">
      <c r="A11" s="62" t="s">
        <v>20</v>
      </c>
      <c r="B11" s="85" t="s">
        <v>21</v>
      </c>
      <c r="C11" s="5">
        <v>2011</v>
      </c>
      <c r="D11" s="5" t="s">
        <v>635</v>
      </c>
      <c r="E11" s="63" t="s">
        <v>11</v>
      </c>
      <c r="F11" s="141" t="s">
        <v>11</v>
      </c>
      <c r="G11" s="417" t="s">
        <v>22</v>
      </c>
      <c r="H11" s="110">
        <v>5620.748799</v>
      </c>
      <c r="I11" s="1">
        <v>5548.8438000000006</v>
      </c>
      <c r="J11" s="1">
        <v>0</v>
      </c>
      <c r="K11" s="412">
        <v>0</v>
      </c>
      <c r="L11" s="839">
        <v>0</v>
      </c>
      <c r="M11" s="839">
        <v>0</v>
      </c>
      <c r="N11" s="850">
        <v>0</v>
      </c>
      <c r="O11" s="155">
        <v>0</v>
      </c>
      <c r="P11" s="201">
        <v>0</v>
      </c>
      <c r="Q11" s="29">
        <v>71.905000000000001</v>
      </c>
      <c r="R11" s="1268">
        <v>71.905000000000001</v>
      </c>
      <c r="S11" s="1269">
        <v>0</v>
      </c>
      <c r="T11" s="1268">
        <f t="shared" si="3"/>
        <v>71.905000000000001</v>
      </c>
      <c r="U11" s="850">
        <v>0</v>
      </c>
      <c r="V11" s="201">
        <v>0</v>
      </c>
      <c r="W11" s="201">
        <v>0</v>
      </c>
      <c r="X11" s="29">
        <v>0</v>
      </c>
      <c r="Y11" s="61">
        <v>0</v>
      </c>
      <c r="Z11" s="17">
        <v>0</v>
      </c>
      <c r="AA11" s="339">
        <v>0</v>
      </c>
      <c r="AB11" s="1311">
        <v>0</v>
      </c>
      <c r="AC11" s="45">
        <v>0</v>
      </c>
      <c r="AD11" s="2050">
        <v>0</v>
      </c>
      <c r="AE11" s="229" t="s">
        <v>484</v>
      </c>
      <c r="AF11" s="5" t="s">
        <v>13</v>
      </c>
      <c r="AG11" s="192" t="s">
        <v>208</v>
      </c>
      <c r="AH11" s="193" t="s">
        <v>513</v>
      </c>
      <c r="AI11" s="104" t="s">
        <v>513</v>
      </c>
    </row>
    <row r="12" spans="1:35" s="1339" customFormat="1" ht="30" x14ac:dyDescent="0.25">
      <c r="A12" s="993" t="s">
        <v>23</v>
      </c>
      <c r="B12" s="945" t="s">
        <v>24</v>
      </c>
      <c r="C12" s="454">
        <v>2015</v>
      </c>
      <c r="D12" s="454" t="s">
        <v>25</v>
      </c>
      <c r="E12" s="576" t="s">
        <v>11</v>
      </c>
      <c r="F12" s="1447" t="s">
        <v>11</v>
      </c>
      <c r="G12" s="1027" t="s">
        <v>26</v>
      </c>
      <c r="H12" s="546">
        <f>2276.279+1250-700</f>
        <v>2826.279</v>
      </c>
      <c r="I12" s="543">
        <v>2756.2538999999997</v>
      </c>
      <c r="J12" s="543">
        <v>0</v>
      </c>
      <c r="K12" s="1901">
        <v>0</v>
      </c>
      <c r="L12" s="1448">
        <v>0</v>
      </c>
      <c r="M12" s="1448">
        <v>0</v>
      </c>
      <c r="N12" s="919">
        <v>0</v>
      </c>
      <c r="O12" s="1096">
        <v>0</v>
      </c>
      <c r="P12" s="920">
        <v>0</v>
      </c>
      <c r="Q12" s="920">
        <v>0</v>
      </c>
      <c r="R12" s="1449">
        <v>70.025099999999995</v>
      </c>
      <c r="S12" s="1450">
        <v>-70.025099999999995</v>
      </c>
      <c r="T12" s="1449">
        <f t="shared" si="3"/>
        <v>0</v>
      </c>
      <c r="U12" s="919">
        <v>0</v>
      </c>
      <c r="V12" s="920">
        <v>70.025099999999995</v>
      </c>
      <c r="W12" s="920">
        <v>0</v>
      </c>
      <c r="X12" s="547">
        <v>0</v>
      </c>
      <c r="Y12" s="628">
        <v>70.025099999999995</v>
      </c>
      <c r="Z12" s="921">
        <v>0</v>
      </c>
      <c r="AA12" s="1452">
        <v>0</v>
      </c>
      <c r="AB12" s="1453">
        <v>0</v>
      </c>
      <c r="AC12" s="921">
        <v>0</v>
      </c>
      <c r="AD12" s="1104">
        <v>0</v>
      </c>
      <c r="AE12" s="1454" t="s">
        <v>1304</v>
      </c>
      <c r="AF12" s="454" t="s">
        <v>19</v>
      </c>
      <c r="AG12" s="996" t="s">
        <v>208</v>
      </c>
      <c r="AH12" s="996" t="s">
        <v>513</v>
      </c>
      <c r="AI12" s="555" t="s">
        <v>513</v>
      </c>
    </row>
    <row r="13" spans="1:35" s="1339" customFormat="1" ht="25.5" x14ac:dyDescent="0.25">
      <c r="A13" s="993" t="s">
        <v>27</v>
      </c>
      <c r="B13" s="1180" t="s">
        <v>28</v>
      </c>
      <c r="C13" s="1130">
        <v>2016</v>
      </c>
      <c r="D13" s="454" t="s">
        <v>634</v>
      </c>
      <c r="E13" s="1179" t="s">
        <v>11</v>
      </c>
      <c r="F13" s="1447" t="s">
        <v>11</v>
      </c>
      <c r="G13" s="1225" t="s">
        <v>29</v>
      </c>
      <c r="H13" s="557">
        <v>1900</v>
      </c>
      <c r="I13" s="551">
        <v>1664.2539999999999</v>
      </c>
      <c r="J13" s="543">
        <v>0</v>
      </c>
      <c r="K13" s="1901">
        <v>0</v>
      </c>
      <c r="L13" s="1448">
        <v>0</v>
      </c>
      <c r="M13" s="1448">
        <v>0</v>
      </c>
      <c r="N13" s="919">
        <f>235.746-235.746</f>
        <v>0</v>
      </c>
      <c r="O13" s="1096">
        <v>0</v>
      </c>
      <c r="P13" s="920">
        <v>0</v>
      </c>
      <c r="Q13" s="547">
        <v>0</v>
      </c>
      <c r="R13" s="1449">
        <v>235.74600000000001</v>
      </c>
      <c r="S13" s="1450">
        <v>-235.74600000000001</v>
      </c>
      <c r="T13" s="1449">
        <f t="shared" si="3"/>
        <v>0</v>
      </c>
      <c r="U13" s="919">
        <v>0</v>
      </c>
      <c r="V13" s="920">
        <v>0</v>
      </c>
      <c r="W13" s="920">
        <v>235.74600000000001</v>
      </c>
      <c r="X13" s="547">
        <v>0</v>
      </c>
      <c r="Y13" s="628">
        <v>235.74600000000001</v>
      </c>
      <c r="Z13" s="1451">
        <v>0</v>
      </c>
      <c r="AA13" s="1452">
        <v>0</v>
      </c>
      <c r="AB13" s="1453">
        <v>0</v>
      </c>
      <c r="AC13" s="1451">
        <v>0</v>
      </c>
      <c r="AD13" s="2049">
        <v>0</v>
      </c>
      <c r="AE13" s="1454" t="s">
        <v>1303</v>
      </c>
      <c r="AF13" s="996" t="s">
        <v>19</v>
      </c>
      <c r="AG13" s="996" t="s">
        <v>616</v>
      </c>
      <c r="AH13" s="996" t="s">
        <v>513</v>
      </c>
      <c r="AI13" s="555" t="s">
        <v>513</v>
      </c>
    </row>
    <row r="14" spans="1:35" s="375" customFormat="1" ht="26.25" thickBot="1" x14ac:dyDescent="0.3">
      <c r="A14" s="172" t="s">
        <v>30</v>
      </c>
      <c r="B14" s="403" t="s">
        <v>31</v>
      </c>
      <c r="C14" s="167">
        <v>2015</v>
      </c>
      <c r="D14" s="167" t="s">
        <v>25</v>
      </c>
      <c r="E14" s="307" t="s">
        <v>11</v>
      </c>
      <c r="F14" s="1283" t="s">
        <v>11</v>
      </c>
      <c r="G14" s="493" t="s">
        <v>32</v>
      </c>
      <c r="H14" s="692">
        <f>4164.8614-277.8054</f>
        <v>3887.0559999999996</v>
      </c>
      <c r="I14" s="174">
        <v>664.86500000000001</v>
      </c>
      <c r="J14" s="174">
        <v>3222.1909999999998</v>
      </c>
      <c r="K14" s="1381">
        <v>0</v>
      </c>
      <c r="L14" s="1284">
        <v>0</v>
      </c>
      <c r="M14" s="1284">
        <v>0</v>
      </c>
      <c r="N14" s="322">
        <f>3500-0.0036-3499.9964</f>
        <v>0</v>
      </c>
      <c r="O14" s="332">
        <v>3222.1909999999998</v>
      </c>
      <c r="P14" s="308">
        <v>0</v>
      </c>
      <c r="Q14" s="323">
        <v>0</v>
      </c>
      <c r="R14" s="1396">
        <v>3222.1909999999998</v>
      </c>
      <c r="S14" s="495">
        <v>0</v>
      </c>
      <c r="T14" s="1396">
        <f t="shared" si="3"/>
        <v>3222.1909999999998</v>
      </c>
      <c r="U14" s="322">
        <v>0</v>
      </c>
      <c r="V14" s="308">
        <v>0</v>
      </c>
      <c r="W14" s="308">
        <v>0</v>
      </c>
      <c r="X14" s="323">
        <v>0</v>
      </c>
      <c r="Y14" s="177">
        <v>0</v>
      </c>
      <c r="Z14" s="1285">
        <v>0</v>
      </c>
      <c r="AA14" s="341">
        <v>0</v>
      </c>
      <c r="AB14" s="1312">
        <v>0</v>
      </c>
      <c r="AC14" s="1285">
        <v>0</v>
      </c>
      <c r="AD14" s="2051">
        <v>0</v>
      </c>
      <c r="AE14" s="1286" t="s">
        <v>484</v>
      </c>
      <c r="AF14" s="167" t="s">
        <v>535</v>
      </c>
      <c r="AG14" s="309" t="s">
        <v>608</v>
      </c>
      <c r="AH14" s="309" t="s">
        <v>513</v>
      </c>
      <c r="AI14" s="178" t="s">
        <v>513</v>
      </c>
    </row>
    <row r="15" spans="1:35" s="375" customFormat="1" ht="25.5" x14ac:dyDescent="0.25">
      <c r="A15" s="181" t="s">
        <v>33</v>
      </c>
      <c r="B15" s="389" t="s">
        <v>878</v>
      </c>
      <c r="C15" s="1287">
        <v>2019</v>
      </c>
      <c r="D15" s="182" t="s">
        <v>498</v>
      </c>
      <c r="E15" s="182" t="s">
        <v>11</v>
      </c>
      <c r="F15" s="1288" t="s">
        <v>11</v>
      </c>
      <c r="G15" s="1289" t="s">
        <v>34</v>
      </c>
      <c r="H15" s="394">
        <f>330-8.403</f>
        <v>321.59699999999998</v>
      </c>
      <c r="I15" s="617">
        <v>74</v>
      </c>
      <c r="J15" s="75">
        <v>247.59700000000001</v>
      </c>
      <c r="K15" s="1307">
        <v>0</v>
      </c>
      <c r="L15" s="1259">
        <v>0</v>
      </c>
      <c r="M15" s="1259">
        <v>0</v>
      </c>
      <c r="N15" s="1301">
        <v>0</v>
      </c>
      <c r="O15" s="829">
        <v>247.59700000000001</v>
      </c>
      <c r="P15" s="799">
        <v>0</v>
      </c>
      <c r="Q15" s="798">
        <v>0</v>
      </c>
      <c r="R15" s="1318">
        <v>247.59700000000001</v>
      </c>
      <c r="S15" s="635">
        <v>0</v>
      </c>
      <c r="T15" s="1318">
        <f t="shared" si="3"/>
        <v>247.59700000000001</v>
      </c>
      <c r="U15" s="718">
        <v>0</v>
      </c>
      <c r="V15" s="535">
        <v>0</v>
      </c>
      <c r="W15" s="535">
        <v>0</v>
      </c>
      <c r="X15" s="76">
        <v>0</v>
      </c>
      <c r="Y15" s="1290">
        <v>0</v>
      </c>
      <c r="Z15" s="1291">
        <v>0</v>
      </c>
      <c r="AA15" s="1310">
        <v>0</v>
      </c>
      <c r="AB15" s="799">
        <v>0</v>
      </c>
      <c r="AC15" s="1291">
        <v>0</v>
      </c>
      <c r="AD15" s="2052">
        <v>0</v>
      </c>
      <c r="AE15" s="1292" t="s">
        <v>484</v>
      </c>
      <c r="AF15" s="182" t="s">
        <v>535</v>
      </c>
      <c r="AG15" s="801" t="s">
        <v>531</v>
      </c>
      <c r="AH15" s="801" t="s">
        <v>514</v>
      </c>
      <c r="AI15" s="1293" t="s">
        <v>514</v>
      </c>
    </row>
    <row r="16" spans="1:35" s="391" customFormat="1" ht="25.5" x14ac:dyDescent="0.25">
      <c r="A16" s="62" t="s">
        <v>35</v>
      </c>
      <c r="B16" s="93" t="s">
        <v>724</v>
      </c>
      <c r="C16" s="71">
        <v>2019</v>
      </c>
      <c r="D16" s="5" t="s">
        <v>498</v>
      </c>
      <c r="E16" s="5" t="s">
        <v>11</v>
      </c>
      <c r="F16" s="141" t="s">
        <v>11</v>
      </c>
      <c r="G16" s="417" t="s">
        <v>36</v>
      </c>
      <c r="H16" s="11">
        <f>1200+900</f>
        <v>2100</v>
      </c>
      <c r="I16" s="1">
        <v>145.19999999999999</v>
      </c>
      <c r="J16" s="1">
        <v>0</v>
      </c>
      <c r="K16" s="412">
        <v>0</v>
      </c>
      <c r="L16" s="839">
        <v>0</v>
      </c>
      <c r="M16" s="839">
        <v>0</v>
      </c>
      <c r="N16" s="850">
        <f>1954.8-1954.8</f>
        <v>0</v>
      </c>
      <c r="O16" s="155">
        <v>0</v>
      </c>
      <c r="P16" s="201">
        <v>0</v>
      </c>
      <c r="Q16" s="201">
        <v>1954.8</v>
      </c>
      <c r="R16" s="1268">
        <v>1954.8</v>
      </c>
      <c r="S16" s="1269">
        <v>0</v>
      </c>
      <c r="T16" s="1268">
        <f t="shared" si="3"/>
        <v>1954.8</v>
      </c>
      <c r="U16" s="850">
        <v>0</v>
      </c>
      <c r="V16" s="201">
        <v>0</v>
      </c>
      <c r="W16" s="201">
        <v>0</v>
      </c>
      <c r="X16" s="29">
        <v>0</v>
      </c>
      <c r="Y16" s="61">
        <v>0</v>
      </c>
      <c r="Z16" s="45">
        <v>0</v>
      </c>
      <c r="AA16" s="33">
        <v>0</v>
      </c>
      <c r="AB16" s="201">
        <v>0</v>
      </c>
      <c r="AC16" s="45">
        <v>0</v>
      </c>
      <c r="AD16" s="2053">
        <v>0</v>
      </c>
      <c r="AE16" s="977" t="s">
        <v>484</v>
      </c>
      <c r="AF16" s="4" t="s">
        <v>43</v>
      </c>
      <c r="AG16" s="193" t="s">
        <v>609</v>
      </c>
      <c r="AH16" s="193" t="s">
        <v>514</v>
      </c>
      <c r="AI16" s="104" t="s">
        <v>514</v>
      </c>
    </row>
    <row r="17" spans="1:35" s="1339" customFormat="1" ht="30" x14ac:dyDescent="0.25">
      <c r="A17" s="1001" t="s">
        <v>37</v>
      </c>
      <c r="B17" s="1180" t="s">
        <v>494</v>
      </c>
      <c r="C17" s="589">
        <v>2019</v>
      </c>
      <c r="D17" s="454" t="s">
        <v>498</v>
      </c>
      <c r="E17" s="454" t="s">
        <v>11</v>
      </c>
      <c r="F17" s="1447" t="s">
        <v>11</v>
      </c>
      <c r="G17" s="1027" t="s">
        <v>38</v>
      </c>
      <c r="H17" s="557">
        <v>100</v>
      </c>
      <c r="I17" s="543">
        <v>0</v>
      </c>
      <c r="J17" s="543">
        <v>0</v>
      </c>
      <c r="K17" s="1901">
        <v>0</v>
      </c>
      <c r="L17" s="1448">
        <v>0</v>
      </c>
      <c r="M17" s="1448">
        <v>0</v>
      </c>
      <c r="N17" s="919">
        <f>100-100</f>
        <v>0</v>
      </c>
      <c r="O17" s="1096">
        <v>0</v>
      </c>
      <c r="P17" s="920">
        <v>0</v>
      </c>
      <c r="Q17" s="547">
        <v>0</v>
      </c>
      <c r="R17" s="1449">
        <v>100</v>
      </c>
      <c r="S17" s="1450">
        <v>-100</v>
      </c>
      <c r="T17" s="1449">
        <f>R17+S17</f>
        <v>0</v>
      </c>
      <c r="U17" s="919">
        <v>0</v>
      </c>
      <c r="V17" s="920">
        <v>0</v>
      </c>
      <c r="W17" s="920">
        <v>100</v>
      </c>
      <c r="X17" s="547">
        <v>0</v>
      </c>
      <c r="Y17" s="628">
        <v>100</v>
      </c>
      <c r="Z17" s="1451">
        <v>0</v>
      </c>
      <c r="AA17" s="556">
        <v>0</v>
      </c>
      <c r="AB17" s="920">
        <v>0</v>
      </c>
      <c r="AC17" s="1451">
        <v>0</v>
      </c>
      <c r="AD17" s="2054">
        <v>0</v>
      </c>
      <c r="AE17" s="659" t="s">
        <v>1302</v>
      </c>
      <c r="AF17" s="454" t="s">
        <v>19</v>
      </c>
      <c r="AG17" s="996" t="s">
        <v>616</v>
      </c>
      <c r="AH17" s="996" t="s">
        <v>513</v>
      </c>
      <c r="AI17" s="555" t="s">
        <v>513</v>
      </c>
    </row>
    <row r="18" spans="1:35" s="1339" customFormat="1" ht="30.75" thickBot="1" x14ac:dyDescent="0.3">
      <c r="A18" s="1012" t="s">
        <v>39</v>
      </c>
      <c r="B18" s="949" t="s">
        <v>871</v>
      </c>
      <c r="C18" s="590">
        <v>2019</v>
      </c>
      <c r="D18" s="582" t="s">
        <v>498</v>
      </c>
      <c r="E18" s="582" t="s">
        <v>11</v>
      </c>
      <c r="F18" s="1456" t="s">
        <v>11</v>
      </c>
      <c r="G18" s="1457" t="s">
        <v>40</v>
      </c>
      <c r="H18" s="584">
        <v>800</v>
      </c>
      <c r="I18" s="583">
        <v>371.3732</v>
      </c>
      <c r="J18" s="583">
        <v>0</v>
      </c>
      <c r="K18" s="1459">
        <v>0</v>
      </c>
      <c r="L18" s="1459">
        <v>0</v>
      </c>
      <c r="M18" s="1459">
        <v>0</v>
      </c>
      <c r="N18" s="955">
        <v>0</v>
      </c>
      <c r="O18" s="1099">
        <v>0</v>
      </c>
      <c r="P18" s="956">
        <v>0</v>
      </c>
      <c r="Q18" s="1038">
        <v>0</v>
      </c>
      <c r="R18" s="1460">
        <v>428.6268</v>
      </c>
      <c r="S18" s="1461">
        <v>-428.6268</v>
      </c>
      <c r="T18" s="1460">
        <f t="shared" si="3"/>
        <v>0</v>
      </c>
      <c r="U18" s="955">
        <v>428.6268</v>
      </c>
      <c r="V18" s="956">
        <v>0</v>
      </c>
      <c r="W18" s="956">
        <v>0</v>
      </c>
      <c r="X18" s="1038">
        <v>0</v>
      </c>
      <c r="Y18" s="1462">
        <v>428.6268</v>
      </c>
      <c r="Z18" s="1463">
        <v>0</v>
      </c>
      <c r="AA18" s="629">
        <v>0</v>
      </c>
      <c r="AB18" s="956">
        <v>0</v>
      </c>
      <c r="AC18" s="1463">
        <v>0</v>
      </c>
      <c r="AD18" s="2055">
        <v>0</v>
      </c>
      <c r="AE18" s="1464" t="s">
        <v>1301</v>
      </c>
      <c r="AF18" s="582" t="s">
        <v>13</v>
      </c>
      <c r="AG18" s="1015" t="s">
        <v>208</v>
      </c>
      <c r="AH18" s="1015" t="s">
        <v>513</v>
      </c>
      <c r="AI18" s="1016" t="s">
        <v>513</v>
      </c>
    </row>
    <row r="19" spans="1:35" s="1339" customFormat="1" ht="25.5" x14ac:dyDescent="0.25">
      <c r="A19" s="1001" t="s">
        <v>771</v>
      </c>
      <c r="B19" s="1465" t="s">
        <v>1127</v>
      </c>
      <c r="C19" s="574">
        <v>2019</v>
      </c>
      <c r="D19" s="453" t="s">
        <v>969</v>
      </c>
      <c r="E19" s="550" t="s">
        <v>11</v>
      </c>
      <c r="F19" s="1466" t="s">
        <v>11</v>
      </c>
      <c r="G19" s="1467" t="s">
        <v>866</v>
      </c>
      <c r="H19" s="1207">
        <v>10000</v>
      </c>
      <c r="I19" s="543">
        <v>0</v>
      </c>
      <c r="J19" s="543">
        <v>89.54</v>
      </c>
      <c r="K19" s="1901">
        <v>0</v>
      </c>
      <c r="L19" s="1448">
        <v>0</v>
      </c>
      <c r="M19" s="1838">
        <v>0</v>
      </c>
      <c r="N19" s="906">
        <f>150-150</f>
        <v>0</v>
      </c>
      <c r="O19" s="1103">
        <v>89.54</v>
      </c>
      <c r="P19" s="907">
        <v>0</v>
      </c>
      <c r="Q19" s="586">
        <f>4410.46-3000</f>
        <v>1410.46</v>
      </c>
      <c r="R19" s="1468">
        <v>4500</v>
      </c>
      <c r="S19" s="1469">
        <v>-3000</v>
      </c>
      <c r="T19" s="1468">
        <f t="shared" si="3"/>
        <v>1500</v>
      </c>
      <c r="U19" s="906">
        <v>0</v>
      </c>
      <c r="V19" s="907">
        <v>3000</v>
      </c>
      <c r="W19" s="907">
        <v>5500</v>
      </c>
      <c r="X19" s="586">
        <v>0</v>
      </c>
      <c r="Y19" s="699">
        <v>8500</v>
      </c>
      <c r="Z19" s="1470">
        <v>0</v>
      </c>
      <c r="AA19" s="553">
        <v>0</v>
      </c>
      <c r="AB19" s="907">
        <v>0</v>
      </c>
      <c r="AC19" s="1470">
        <v>0</v>
      </c>
      <c r="AD19" s="2049">
        <v>0</v>
      </c>
      <c r="AE19" s="1454" t="s">
        <v>1300</v>
      </c>
      <c r="AF19" s="453" t="s">
        <v>13</v>
      </c>
      <c r="AG19" s="1047" t="s">
        <v>208</v>
      </c>
      <c r="AH19" s="1471" t="s">
        <v>513</v>
      </c>
      <c r="AI19" s="1472" t="s">
        <v>513</v>
      </c>
    </row>
    <row r="20" spans="1:35" s="354" customFormat="1" ht="25.5" x14ac:dyDescent="0.25">
      <c r="A20" s="62" t="s">
        <v>772</v>
      </c>
      <c r="B20" s="85" t="s">
        <v>494</v>
      </c>
      <c r="C20" s="71">
        <v>2019</v>
      </c>
      <c r="D20" s="5" t="s">
        <v>969</v>
      </c>
      <c r="E20" s="5" t="s">
        <v>11</v>
      </c>
      <c r="F20" s="64" t="s">
        <v>11</v>
      </c>
      <c r="G20" s="204" t="s">
        <v>867</v>
      </c>
      <c r="H20" s="16">
        <v>120</v>
      </c>
      <c r="I20" s="16">
        <v>0</v>
      </c>
      <c r="J20" s="1">
        <v>0</v>
      </c>
      <c r="K20" s="412">
        <v>0</v>
      </c>
      <c r="L20" s="839">
        <v>0</v>
      </c>
      <c r="M20" s="782">
        <v>0</v>
      </c>
      <c r="N20" s="850">
        <f>120-120</f>
        <v>0</v>
      </c>
      <c r="O20" s="155">
        <v>0</v>
      </c>
      <c r="P20" s="201">
        <v>0</v>
      </c>
      <c r="Q20" s="29">
        <v>120</v>
      </c>
      <c r="R20" s="1268">
        <v>120</v>
      </c>
      <c r="S20" s="1269">
        <v>0</v>
      </c>
      <c r="T20" s="1268">
        <f t="shared" si="3"/>
        <v>120</v>
      </c>
      <c r="U20" s="850">
        <v>0</v>
      </c>
      <c r="V20" s="201">
        <v>0</v>
      </c>
      <c r="W20" s="201">
        <v>0</v>
      </c>
      <c r="X20" s="29">
        <v>0</v>
      </c>
      <c r="Y20" s="61">
        <v>0</v>
      </c>
      <c r="Z20" s="45">
        <v>0</v>
      </c>
      <c r="AA20" s="33">
        <v>0</v>
      </c>
      <c r="AB20" s="201">
        <v>0</v>
      </c>
      <c r="AC20" s="45">
        <v>0</v>
      </c>
      <c r="AD20" s="2050">
        <v>0</v>
      </c>
      <c r="AE20" s="229" t="s">
        <v>484</v>
      </c>
      <c r="AF20" s="5" t="s">
        <v>1171</v>
      </c>
      <c r="AG20" s="193" t="s">
        <v>208</v>
      </c>
      <c r="AH20" s="193" t="s">
        <v>514</v>
      </c>
      <c r="AI20" s="104" t="s">
        <v>514</v>
      </c>
    </row>
    <row r="21" spans="1:35" s="1339" customFormat="1" ht="26.25" thickBot="1" x14ac:dyDescent="0.3">
      <c r="A21" s="1012" t="s">
        <v>864</v>
      </c>
      <c r="B21" s="1475" t="s">
        <v>494</v>
      </c>
      <c r="C21" s="590">
        <v>2019</v>
      </c>
      <c r="D21" s="582" t="s">
        <v>969</v>
      </c>
      <c r="E21" s="582" t="s">
        <v>11</v>
      </c>
      <c r="F21" s="1098" t="s">
        <v>11</v>
      </c>
      <c r="G21" s="1013" t="s">
        <v>865</v>
      </c>
      <c r="H21" s="583">
        <v>1300</v>
      </c>
      <c r="I21" s="583">
        <v>0</v>
      </c>
      <c r="J21" s="1210">
        <v>0</v>
      </c>
      <c r="K21" s="1459">
        <v>0</v>
      </c>
      <c r="L21" s="1476">
        <v>0</v>
      </c>
      <c r="M21" s="1459">
        <v>0</v>
      </c>
      <c r="N21" s="955">
        <v>0</v>
      </c>
      <c r="O21" s="1099">
        <v>0</v>
      </c>
      <c r="P21" s="956">
        <v>0</v>
      </c>
      <c r="Q21" s="1038">
        <v>0</v>
      </c>
      <c r="R21" s="1460">
        <v>1300</v>
      </c>
      <c r="S21" s="1461">
        <v>-1300</v>
      </c>
      <c r="T21" s="1460">
        <f t="shared" si="3"/>
        <v>0</v>
      </c>
      <c r="U21" s="955">
        <v>0</v>
      </c>
      <c r="V21" s="956">
        <v>1300</v>
      </c>
      <c r="W21" s="956">
        <v>0</v>
      </c>
      <c r="X21" s="1038">
        <v>0</v>
      </c>
      <c r="Y21" s="1462">
        <v>1300</v>
      </c>
      <c r="Z21" s="1463">
        <v>0</v>
      </c>
      <c r="AA21" s="629">
        <v>0</v>
      </c>
      <c r="AB21" s="956">
        <v>0</v>
      </c>
      <c r="AC21" s="1463">
        <v>0</v>
      </c>
      <c r="AD21" s="2055">
        <v>0</v>
      </c>
      <c r="AE21" s="1464" t="s">
        <v>1299</v>
      </c>
      <c r="AF21" s="582" t="s">
        <v>19</v>
      </c>
      <c r="AG21" s="1015" t="s">
        <v>899</v>
      </c>
      <c r="AH21" s="1015" t="s">
        <v>513</v>
      </c>
      <c r="AI21" s="1016" t="s">
        <v>513</v>
      </c>
    </row>
    <row r="22" spans="1:35" s="375" customFormat="1" ht="30" x14ac:dyDescent="0.25">
      <c r="A22" s="648" t="s">
        <v>1045</v>
      </c>
      <c r="B22" s="1434" t="s">
        <v>1314</v>
      </c>
      <c r="C22" s="681">
        <v>2020</v>
      </c>
      <c r="D22" s="1435" t="s">
        <v>1213</v>
      </c>
      <c r="E22" s="1436" t="s">
        <v>11</v>
      </c>
      <c r="F22" s="1437" t="s">
        <v>11</v>
      </c>
      <c r="G22" s="1438" t="s">
        <v>1042</v>
      </c>
      <c r="H22" s="688">
        <f>500-79.37702</f>
        <v>420.62297999999998</v>
      </c>
      <c r="I22" s="1439">
        <v>0</v>
      </c>
      <c r="J22" s="738">
        <v>0</v>
      </c>
      <c r="K22" s="1276">
        <v>0</v>
      </c>
      <c r="L22" s="1446">
        <v>0</v>
      </c>
      <c r="M22" s="1513">
        <v>420.62297999999998</v>
      </c>
      <c r="N22" s="1441">
        <v>0</v>
      </c>
      <c r="O22" s="757">
        <v>0</v>
      </c>
      <c r="P22" s="761">
        <v>0</v>
      </c>
      <c r="Q22" s="707">
        <f>500-79.37702</f>
        <v>420.62297999999998</v>
      </c>
      <c r="R22" s="1442">
        <v>500</v>
      </c>
      <c r="S22" s="655">
        <v>-79.377020000000002</v>
      </c>
      <c r="T22" s="1442">
        <f t="shared" si="3"/>
        <v>420.62297999999998</v>
      </c>
      <c r="U22" s="1441">
        <v>0</v>
      </c>
      <c r="V22" s="761">
        <v>0</v>
      </c>
      <c r="W22" s="761">
        <v>0</v>
      </c>
      <c r="X22" s="707">
        <v>0</v>
      </c>
      <c r="Y22" s="1443">
        <v>0</v>
      </c>
      <c r="Z22" s="652">
        <v>0</v>
      </c>
      <c r="AA22" s="1444">
        <v>0</v>
      </c>
      <c r="AB22" s="761">
        <v>0</v>
      </c>
      <c r="AC22" s="1445">
        <v>0</v>
      </c>
      <c r="AD22" s="2056">
        <v>0</v>
      </c>
      <c r="AE22" s="1106" t="s">
        <v>983</v>
      </c>
      <c r="AF22" s="539" t="s">
        <v>535</v>
      </c>
      <c r="AG22" s="890" t="s">
        <v>541</v>
      </c>
      <c r="AH22" s="889" t="s">
        <v>513</v>
      </c>
      <c r="AI22" s="890" t="s">
        <v>513</v>
      </c>
    </row>
    <row r="23" spans="1:35" ht="30.75" thickBot="1" x14ac:dyDescent="0.3">
      <c r="A23" s="124" t="s">
        <v>1046</v>
      </c>
      <c r="B23" s="509" t="s">
        <v>494</v>
      </c>
      <c r="C23" s="191">
        <v>2020</v>
      </c>
      <c r="D23" s="1295" t="s">
        <v>1213</v>
      </c>
      <c r="E23" s="125" t="s">
        <v>11</v>
      </c>
      <c r="F23" s="446" t="s">
        <v>11</v>
      </c>
      <c r="G23" s="481" t="s">
        <v>1043</v>
      </c>
      <c r="H23" s="46">
        <v>420</v>
      </c>
      <c r="I23" s="46">
        <v>0</v>
      </c>
      <c r="J23" s="46">
        <v>0</v>
      </c>
      <c r="K23" s="1381">
        <v>0</v>
      </c>
      <c r="L23" s="835">
        <v>0</v>
      </c>
      <c r="M23" s="835">
        <v>0</v>
      </c>
      <c r="N23" s="845">
        <v>0</v>
      </c>
      <c r="O23" s="160">
        <v>0</v>
      </c>
      <c r="P23" s="203">
        <v>0</v>
      </c>
      <c r="Q23" s="98">
        <v>420</v>
      </c>
      <c r="R23" s="1270">
        <v>420</v>
      </c>
      <c r="S23" s="1271">
        <v>0</v>
      </c>
      <c r="T23" s="1270">
        <f t="shared" si="3"/>
        <v>420</v>
      </c>
      <c r="U23" s="845">
        <v>0</v>
      </c>
      <c r="V23" s="203">
        <v>0</v>
      </c>
      <c r="W23" s="203">
        <v>0</v>
      </c>
      <c r="X23" s="98">
        <v>0</v>
      </c>
      <c r="Y23" s="463">
        <v>0</v>
      </c>
      <c r="Z23" s="463">
        <v>0</v>
      </c>
      <c r="AA23" s="48">
        <v>0</v>
      </c>
      <c r="AB23" s="203">
        <v>0</v>
      </c>
      <c r="AC23" s="480">
        <v>0</v>
      </c>
      <c r="AD23" s="2057">
        <v>0</v>
      </c>
      <c r="AE23" s="876" t="s">
        <v>484</v>
      </c>
      <c r="AF23" s="125" t="s">
        <v>19</v>
      </c>
      <c r="AG23" s="128" t="s">
        <v>732</v>
      </c>
      <c r="AH23" s="194" t="s">
        <v>513</v>
      </c>
      <c r="AI23" s="128" t="s">
        <v>513</v>
      </c>
    </row>
    <row r="24" spans="1:35" ht="30" x14ac:dyDescent="0.25">
      <c r="A24" s="132" t="s">
        <v>1142</v>
      </c>
      <c r="B24" s="1397" t="s">
        <v>494</v>
      </c>
      <c r="C24" s="1141">
        <v>2020</v>
      </c>
      <c r="D24" s="1398" t="s">
        <v>1220</v>
      </c>
      <c r="E24" s="153" t="s">
        <v>11</v>
      </c>
      <c r="F24" s="349" t="s">
        <v>11</v>
      </c>
      <c r="G24" s="1399" t="s">
        <v>1143</v>
      </c>
      <c r="H24" s="131">
        <v>450</v>
      </c>
      <c r="I24" s="131">
        <v>0</v>
      </c>
      <c r="J24" s="1">
        <v>0</v>
      </c>
      <c r="K24" s="1276">
        <v>0</v>
      </c>
      <c r="L24" s="1248">
        <v>0</v>
      </c>
      <c r="M24" s="839">
        <v>0</v>
      </c>
      <c r="N24" s="1401">
        <v>0</v>
      </c>
      <c r="O24" s="1402">
        <v>0</v>
      </c>
      <c r="P24" s="1236">
        <v>0</v>
      </c>
      <c r="Q24" s="351">
        <v>450</v>
      </c>
      <c r="R24" s="1266">
        <v>450</v>
      </c>
      <c r="S24" s="1267">
        <v>0</v>
      </c>
      <c r="T24" s="1266">
        <f t="shared" si="3"/>
        <v>450</v>
      </c>
      <c r="U24" s="1401">
        <v>0</v>
      </c>
      <c r="V24" s="1236">
        <v>0</v>
      </c>
      <c r="W24" s="1236">
        <v>0</v>
      </c>
      <c r="X24" s="351">
        <v>0</v>
      </c>
      <c r="Y24" s="1403">
        <v>0</v>
      </c>
      <c r="Z24" s="154">
        <v>0</v>
      </c>
      <c r="AA24" s="350">
        <v>0</v>
      </c>
      <c r="AB24" s="1236">
        <v>0</v>
      </c>
      <c r="AC24" s="1404">
        <v>0</v>
      </c>
      <c r="AD24" s="2058">
        <v>0</v>
      </c>
      <c r="AE24" s="1405" t="s">
        <v>484</v>
      </c>
      <c r="AF24" s="53" t="s">
        <v>19</v>
      </c>
      <c r="AG24" s="196" t="s">
        <v>732</v>
      </c>
      <c r="AH24" s="107" t="s">
        <v>513</v>
      </c>
      <c r="AI24" s="107" t="s">
        <v>513</v>
      </c>
    </row>
    <row r="25" spans="1:35" ht="30.75" thickBot="1" x14ac:dyDescent="0.3">
      <c r="A25" s="1406" t="s">
        <v>1144</v>
      </c>
      <c r="B25" s="1407" t="s">
        <v>494</v>
      </c>
      <c r="C25" s="1408">
        <v>2020</v>
      </c>
      <c r="D25" s="1409" t="s">
        <v>1220</v>
      </c>
      <c r="E25" s="1063" t="s">
        <v>11</v>
      </c>
      <c r="F25" s="1410" t="s">
        <v>11</v>
      </c>
      <c r="G25" s="1411" t="s">
        <v>1145</v>
      </c>
      <c r="H25" s="807">
        <v>500</v>
      </c>
      <c r="I25" s="807">
        <v>0</v>
      </c>
      <c r="J25" s="807">
        <v>0</v>
      </c>
      <c r="K25" s="1962">
        <v>0</v>
      </c>
      <c r="L25" s="1412">
        <v>0</v>
      </c>
      <c r="M25" s="1412">
        <v>0</v>
      </c>
      <c r="N25" s="1392">
        <v>0</v>
      </c>
      <c r="O25" s="1413">
        <v>0</v>
      </c>
      <c r="P25" s="1065">
        <v>0</v>
      </c>
      <c r="Q25" s="1414">
        <v>500</v>
      </c>
      <c r="R25" s="1415">
        <v>350</v>
      </c>
      <c r="S25" s="1416">
        <v>150</v>
      </c>
      <c r="T25" s="1415">
        <f>R25+S25</f>
        <v>500</v>
      </c>
      <c r="U25" s="1392">
        <v>0</v>
      </c>
      <c r="V25" s="1065">
        <v>0</v>
      </c>
      <c r="W25" s="1065">
        <v>0</v>
      </c>
      <c r="X25" s="1414">
        <v>0</v>
      </c>
      <c r="Y25" s="1417">
        <v>0</v>
      </c>
      <c r="Z25" s="1417">
        <v>0</v>
      </c>
      <c r="AA25" s="1418">
        <v>0</v>
      </c>
      <c r="AB25" s="1065">
        <v>0</v>
      </c>
      <c r="AC25" s="1419">
        <v>0</v>
      </c>
      <c r="AD25" s="2059">
        <v>0</v>
      </c>
      <c r="AE25" s="1420" t="s">
        <v>1296</v>
      </c>
      <c r="AF25" s="1063" t="s">
        <v>19</v>
      </c>
      <c r="AG25" s="1421" t="s">
        <v>732</v>
      </c>
      <c r="AH25" s="1422" t="s">
        <v>513</v>
      </c>
      <c r="AI25" s="1422" t="s">
        <v>513</v>
      </c>
    </row>
    <row r="26" spans="1:35" x14ac:dyDescent="0.25">
      <c r="A26" s="1144" t="s">
        <v>1297</v>
      </c>
      <c r="B26" s="1954" t="s">
        <v>494</v>
      </c>
      <c r="C26" s="813">
        <v>2020</v>
      </c>
      <c r="D26" s="1938" t="s">
        <v>494</v>
      </c>
      <c r="E26" s="357" t="s">
        <v>11</v>
      </c>
      <c r="F26" s="1148" t="s">
        <v>11</v>
      </c>
      <c r="G26" s="1955" t="s">
        <v>1298</v>
      </c>
      <c r="H26" s="390">
        <v>380</v>
      </c>
      <c r="I26" s="390">
        <v>0</v>
      </c>
      <c r="J26" s="390">
        <v>0</v>
      </c>
      <c r="K26" s="1258">
        <v>0</v>
      </c>
      <c r="L26" s="1258">
        <v>0</v>
      </c>
      <c r="M26" s="1258">
        <v>0</v>
      </c>
      <c r="N26" s="1133">
        <v>0</v>
      </c>
      <c r="O26" s="1205">
        <v>0</v>
      </c>
      <c r="P26" s="1134">
        <v>0</v>
      </c>
      <c r="Q26" s="1147">
        <v>0</v>
      </c>
      <c r="R26" s="1956">
        <v>0</v>
      </c>
      <c r="S26" s="1957">
        <v>0</v>
      </c>
      <c r="T26" s="1956">
        <f>R26+S26</f>
        <v>0</v>
      </c>
      <c r="U26" s="1133">
        <v>380</v>
      </c>
      <c r="V26" s="1134">
        <v>0</v>
      </c>
      <c r="W26" s="1134">
        <v>0</v>
      </c>
      <c r="X26" s="1147">
        <v>0</v>
      </c>
      <c r="Y26" s="1958">
        <v>380</v>
      </c>
      <c r="Z26" s="1959">
        <v>0</v>
      </c>
      <c r="AA26" s="1135">
        <v>0</v>
      </c>
      <c r="AB26" s="1134">
        <v>0</v>
      </c>
      <c r="AC26" s="1959">
        <v>0</v>
      </c>
      <c r="AD26" s="2060">
        <v>0</v>
      </c>
      <c r="AE26" s="1960" t="s">
        <v>484</v>
      </c>
      <c r="AF26" s="357" t="s">
        <v>19</v>
      </c>
      <c r="AG26" s="1961" t="s">
        <v>609</v>
      </c>
      <c r="AH26" s="1220" t="s">
        <v>513</v>
      </c>
      <c r="AI26" s="1220" t="s">
        <v>513</v>
      </c>
    </row>
    <row r="27" spans="1:35" s="756" customFormat="1" ht="15.75" thickBot="1" x14ac:dyDescent="0.3">
      <c r="A27" s="156" t="s">
        <v>544</v>
      </c>
      <c r="B27" s="1431" t="s">
        <v>544</v>
      </c>
      <c r="C27" s="189" t="s">
        <v>544</v>
      </c>
      <c r="D27" s="1432" t="s">
        <v>544</v>
      </c>
      <c r="E27" s="54" t="s">
        <v>544</v>
      </c>
      <c r="F27" s="89" t="s">
        <v>544</v>
      </c>
      <c r="G27" s="1433" t="s">
        <v>544</v>
      </c>
      <c r="H27" s="858" t="s">
        <v>544</v>
      </c>
      <c r="I27" s="858" t="s">
        <v>544</v>
      </c>
      <c r="J27" s="858" t="s">
        <v>544</v>
      </c>
      <c r="K27" s="867" t="s">
        <v>544</v>
      </c>
      <c r="L27" s="858" t="s">
        <v>544</v>
      </c>
      <c r="M27" s="867" t="s">
        <v>544</v>
      </c>
      <c r="N27" s="1157" t="s">
        <v>544</v>
      </c>
      <c r="O27" s="868" t="s">
        <v>544</v>
      </c>
      <c r="P27" s="861" t="s">
        <v>544</v>
      </c>
      <c r="Q27" s="859" t="s">
        <v>544</v>
      </c>
      <c r="R27" s="1156" t="s">
        <v>544</v>
      </c>
      <c r="S27" s="884" t="s">
        <v>544</v>
      </c>
      <c r="T27" s="1156" t="s">
        <v>544</v>
      </c>
      <c r="U27" s="1157" t="s">
        <v>544</v>
      </c>
      <c r="V27" s="861" t="s">
        <v>544</v>
      </c>
      <c r="W27" s="861" t="s">
        <v>544</v>
      </c>
      <c r="X27" s="791" t="s">
        <v>544</v>
      </c>
      <c r="Y27" s="883" t="s">
        <v>544</v>
      </c>
      <c r="Z27" s="871" t="s">
        <v>544</v>
      </c>
      <c r="AA27" s="1181" t="s">
        <v>544</v>
      </c>
      <c r="AB27" s="861" t="s">
        <v>544</v>
      </c>
      <c r="AC27" s="871" t="s">
        <v>544</v>
      </c>
      <c r="AD27" s="871" t="s">
        <v>544</v>
      </c>
      <c r="AE27" s="791" t="s">
        <v>544</v>
      </c>
      <c r="AF27" s="54" t="s">
        <v>544</v>
      </c>
      <c r="AG27" s="708" t="s">
        <v>544</v>
      </c>
      <c r="AH27" s="186" t="s">
        <v>544</v>
      </c>
      <c r="AI27" s="328" t="s">
        <v>544</v>
      </c>
    </row>
    <row r="28" spans="1:35" ht="41.25" customHeight="1" thickBot="1" x14ac:dyDescent="0.3">
      <c r="A28" s="705" t="s">
        <v>484</v>
      </c>
      <c r="B28" s="706" t="s">
        <v>484</v>
      </c>
      <c r="C28" s="139" t="s">
        <v>484</v>
      </c>
      <c r="D28" s="112" t="s">
        <v>484</v>
      </c>
      <c r="E28" s="139" t="s">
        <v>484</v>
      </c>
      <c r="F28" s="139" t="s">
        <v>484</v>
      </c>
      <c r="G28" s="1221" t="s">
        <v>1044</v>
      </c>
      <c r="H28" s="96">
        <f t="shared" ref="H28:I28" si="4">SUM(H10:H27)</f>
        <v>86288.303778999994</v>
      </c>
      <c r="I28" s="96">
        <f t="shared" si="4"/>
        <v>53566.603899999995</v>
      </c>
      <c r="J28" s="96">
        <f>SUM(J10:J27)</f>
        <v>3559.328</v>
      </c>
      <c r="K28" s="827">
        <f>SUM(K10:K27)</f>
        <v>0</v>
      </c>
      <c r="L28" s="827">
        <f>SUM(L10:L27)</f>
        <v>0</v>
      </c>
      <c r="M28" s="827">
        <f>SUM(M10:M27)</f>
        <v>420.62297999999998</v>
      </c>
      <c r="N28" s="96">
        <f t="shared" ref="N28" si="5">SUM(N10:N27)</f>
        <v>0</v>
      </c>
      <c r="O28" s="96">
        <f t="shared" ref="O28:AD28" si="6">SUM(O10:O27)</f>
        <v>3559.328</v>
      </c>
      <c r="P28" s="96">
        <f t="shared" si="6"/>
        <v>0</v>
      </c>
      <c r="Q28" s="293">
        <f t="shared" si="6"/>
        <v>5447.7879800000001</v>
      </c>
      <c r="R28" s="1272">
        <v>22771.0769</v>
      </c>
      <c r="S28" s="1273">
        <f t="shared" si="6"/>
        <v>-13763.96092</v>
      </c>
      <c r="T28" s="1272">
        <f t="shared" si="6"/>
        <v>9007.1159800000023</v>
      </c>
      <c r="U28" s="854">
        <f t="shared" si="6"/>
        <v>4808.6268</v>
      </c>
      <c r="V28" s="855">
        <f t="shared" si="6"/>
        <v>13070.2111</v>
      </c>
      <c r="W28" s="855">
        <f t="shared" si="6"/>
        <v>5835.7460000000001</v>
      </c>
      <c r="X28" s="684">
        <f t="shared" si="6"/>
        <v>0</v>
      </c>
      <c r="Y28" s="96">
        <f t="shared" si="6"/>
        <v>23714.583899999998</v>
      </c>
      <c r="Z28" s="96">
        <f t="shared" si="6"/>
        <v>0</v>
      </c>
      <c r="AA28" s="293">
        <f t="shared" si="6"/>
        <v>0</v>
      </c>
      <c r="AB28" s="855">
        <f t="shared" si="6"/>
        <v>0</v>
      </c>
      <c r="AC28" s="292">
        <f t="shared" si="6"/>
        <v>0</v>
      </c>
      <c r="AD28" s="827">
        <f t="shared" si="6"/>
        <v>0</v>
      </c>
      <c r="AE28" s="120" t="s">
        <v>1486</v>
      </c>
      <c r="AF28" s="97" t="s">
        <v>484</v>
      </c>
      <c r="AG28" s="709" t="s">
        <v>484</v>
      </c>
      <c r="AH28" s="254" t="s">
        <v>484</v>
      </c>
      <c r="AI28" s="97" t="s">
        <v>484</v>
      </c>
    </row>
    <row r="29" spans="1:35" s="391" customFormat="1" ht="30" x14ac:dyDescent="0.25">
      <c r="A29" s="981" t="s">
        <v>499</v>
      </c>
      <c r="B29" s="1976" t="s">
        <v>41</v>
      </c>
      <c r="C29" s="1166">
        <v>2011</v>
      </c>
      <c r="D29" s="470" t="s">
        <v>633</v>
      </c>
      <c r="E29" s="1608" t="s">
        <v>11</v>
      </c>
      <c r="F29" s="1608" t="s">
        <v>11</v>
      </c>
      <c r="G29" s="1834" t="s">
        <v>42</v>
      </c>
      <c r="H29" s="1209">
        <f>16659.59+29+23+1800+400</f>
        <v>18911.59</v>
      </c>
      <c r="I29" s="1854">
        <v>13610.0674</v>
      </c>
      <c r="J29" s="1209">
        <v>2012.5226</v>
      </c>
      <c r="K29" s="1914">
        <v>0</v>
      </c>
      <c r="L29" s="1914">
        <v>0</v>
      </c>
      <c r="M29" s="1915">
        <v>0</v>
      </c>
      <c r="N29" s="1855">
        <f>1100-1100</f>
        <v>0</v>
      </c>
      <c r="O29" s="1856">
        <v>2012.5226</v>
      </c>
      <c r="P29" s="1577"/>
      <c r="Q29" s="560">
        <v>0</v>
      </c>
      <c r="R29" s="1747">
        <v>3101.5226000000002</v>
      </c>
      <c r="S29" s="1748">
        <v>-1089</v>
      </c>
      <c r="T29" s="1747">
        <f t="shared" ref="T29:T44" si="7">R29+S29</f>
        <v>2012.5226000000002</v>
      </c>
      <c r="U29" s="1855">
        <v>1089</v>
      </c>
      <c r="V29" s="1577">
        <v>0</v>
      </c>
      <c r="W29" s="1577">
        <f>1800+400</f>
        <v>2200</v>
      </c>
      <c r="X29" s="939">
        <v>0</v>
      </c>
      <c r="Y29" s="938">
        <f>U29+W29</f>
        <v>3289</v>
      </c>
      <c r="Z29" s="1857">
        <v>0</v>
      </c>
      <c r="AA29" s="1576">
        <v>0</v>
      </c>
      <c r="AB29" s="1577">
        <v>0</v>
      </c>
      <c r="AC29" s="1991">
        <v>0</v>
      </c>
      <c r="AD29" s="2061">
        <v>0</v>
      </c>
      <c r="AE29" s="573" t="s">
        <v>1421</v>
      </c>
      <c r="AF29" s="1858" t="s">
        <v>43</v>
      </c>
      <c r="AG29" s="1859" t="s">
        <v>616</v>
      </c>
      <c r="AH29" s="1860" t="s">
        <v>514</v>
      </c>
      <c r="AI29" s="1861" t="s">
        <v>514</v>
      </c>
    </row>
    <row r="30" spans="1:35" s="391" customFormat="1" ht="25.5" x14ac:dyDescent="0.25">
      <c r="A30" s="987" t="s">
        <v>500</v>
      </c>
      <c r="B30" s="1977" t="s">
        <v>44</v>
      </c>
      <c r="C30" s="298">
        <v>2013</v>
      </c>
      <c r="D30" s="298" t="s">
        <v>632</v>
      </c>
      <c r="E30" s="407" t="s">
        <v>11</v>
      </c>
      <c r="F30" s="407" t="s">
        <v>11</v>
      </c>
      <c r="G30" s="1024" t="s">
        <v>45</v>
      </c>
      <c r="H30" s="299">
        <f>1182.025+540.2+700+2000</f>
        <v>4422.2250000000004</v>
      </c>
      <c r="I30" s="300">
        <v>663.02</v>
      </c>
      <c r="J30" s="297">
        <v>1059.2049999999999</v>
      </c>
      <c r="K30" s="1916">
        <v>0</v>
      </c>
      <c r="L30" s="1916">
        <v>0</v>
      </c>
      <c r="M30" s="806">
        <v>0</v>
      </c>
      <c r="N30" s="927">
        <v>0</v>
      </c>
      <c r="O30" s="526">
        <f>519.005+540.2</f>
        <v>1059.2049999999999</v>
      </c>
      <c r="P30" s="1036">
        <v>0</v>
      </c>
      <c r="Q30" s="528">
        <v>700</v>
      </c>
      <c r="R30" s="1546">
        <v>1759.2049999999999</v>
      </c>
      <c r="S30" s="1547">
        <v>0</v>
      </c>
      <c r="T30" s="1546">
        <f t="shared" si="7"/>
        <v>1759.2049999999999</v>
      </c>
      <c r="U30" s="927">
        <v>0</v>
      </c>
      <c r="V30" s="527">
        <v>2000</v>
      </c>
      <c r="W30" s="527">
        <v>0</v>
      </c>
      <c r="X30" s="528">
        <v>0</v>
      </c>
      <c r="Y30" s="990">
        <v>2000</v>
      </c>
      <c r="Z30" s="575">
        <v>0</v>
      </c>
      <c r="AA30" s="1120">
        <v>0</v>
      </c>
      <c r="AB30" s="527">
        <v>0</v>
      </c>
      <c r="AC30" s="575">
        <v>0</v>
      </c>
      <c r="AD30" s="1673">
        <v>0</v>
      </c>
      <c r="AE30" s="280" t="s">
        <v>1422</v>
      </c>
      <c r="AF30" s="524" t="s">
        <v>43</v>
      </c>
      <c r="AG30" s="1056" t="s">
        <v>616</v>
      </c>
      <c r="AH30" s="1056" t="s">
        <v>514</v>
      </c>
      <c r="AI30" s="1813" t="s">
        <v>514</v>
      </c>
    </row>
    <row r="31" spans="1:35" ht="30" x14ac:dyDescent="0.25">
      <c r="A31" s="82" t="s">
        <v>501</v>
      </c>
      <c r="B31" s="832" t="s">
        <v>46</v>
      </c>
      <c r="C31" s="5">
        <v>2018</v>
      </c>
      <c r="D31" s="5" t="s">
        <v>502</v>
      </c>
      <c r="E31" s="63" t="s">
        <v>11</v>
      </c>
      <c r="F31" s="63" t="s">
        <v>11</v>
      </c>
      <c r="G31" s="1772" t="s">
        <v>47</v>
      </c>
      <c r="H31" s="198">
        <v>23232</v>
      </c>
      <c r="I31" s="198">
        <v>15371.5375</v>
      </c>
      <c r="J31" s="1">
        <v>4205.4759999999997</v>
      </c>
      <c r="K31" s="412">
        <v>0</v>
      </c>
      <c r="L31" s="412">
        <v>0</v>
      </c>
      <c r="M31" s="782">
        <v>0</v>
      </c>
      <c r="N31" s="1051">
        <v>0</v>
      </c>
      <c r="O31" s="1773">
        <v>4205.4759999999997</v>
      </c>
      <c r="P31" s="1052">
        <v>0</v>
      </c>
      <c r="Q31" s="666">
        <v>0</v>
      </c>
      <c r="R31" s="1268">
        <v>4205.4760000000006</v>
      </c>
      <c r="S31" s="1269">
        <v>0</v>
      </c>
      <c r="T31" s="1268">
        <f t="shared" si="7"/>
        <v>4205.4760000000006</v>
      </c>
      <c r="U31" s="1051">
        <v>0</v>
      </c>
      <c r="V31" s="1052">
        <v>1239.5239999999999</v>
      </c>
      <c r="W31" s="1052">
        <v>0</v>
      </c>
      <c r="X31" s="658">
        <v>0</v>
      </c>
      <c r="Y31" s="199">
        <v>1239.5239999999999</v>
      </c>
      <c r="Z31" s="1053">
        <f>2415+0.4625</f>
        <v>2415.4625000000001</v>
      </c>
      <c r="AA31" s="1984">
        <v>0</v>
      </c>
      <c r="AB31" s="1052">
        <v>0</v>
      </c>
      <c r="AC31" s="1053">
        <v>0</v>
      </c>
      <c r="AD31" s="2062">
        <v>0</v>
      </c>
      <c r="AE31" s="200" t="s">
        <v>484</v>
      </c>
      <c r="AF31" s="1054" t="s">
        <v>43</v>
      </c>
      <c r="AG31" s="1214" t="s">
        <v>1163</v>
      </c>
      <c r="AH31" s="234" t="s">
        <v>514</v>
      </c>
      <c r="AI31" s="1068" t="s">
        <v>514</v>
      </c>
    </row>
    <row r="32" spans="1:35" s="419" customFormat="1" ht="30" x14ac:dyDescent="0.25">
      <c r="A32" s="1087" t="s">
        <v>503</v>
      </c>
      <c r="B32" s="1830" t="s">
        <v>48</v>
      </c>
      <c r="C32" s="454">
        <v>2018</v>
      </c>
      <c r="D32" s="454" t="s">
        <v>502</v>
      </c>
      <c r="E32" s="576" t="s">
        <v>11</v>
      </c>
      <c r="F32" s="576" t="s">
        <v>11</v>
      </c>
      <c r="G32" s="1027" t="s">
        <v>49</v>
      </c>
      <c r="H32" s="551">
        <f>25400-500-4300-700</f>
        <v>19900</v>
      </c>
      <c r="I32" s="551">
        <v>12844.05013</v>
      </c>
      <c r="J32" s="543">
        <v>1480.7591</v>
      </c>
      <c r="K32" s="1901">
        <v>0</v>
      </c>
      <c r="L32" s="1901">
        <v>0</v>
      </c>
      <c r="M32" s="1553">
        <v>0</v>
      </c>
      <c r="N32" s="919">
        <f>14405-12844.05013-1560.94987</f>
        <v>0</v>
      </c>
      <c r="O32" s="1096">
        <v>1480.7591</v>
      </c>
      <c r="P32" s="920">
        <v>0</v>
      </c>
      <c r="Q32" s="920">
        <v>1111</v>
      </c>
      <c r="R32" s="1449">
        <v>3480.7591000000002</v>
      </c>
      <c r="S32" s="1450">
        <v>-889</v>
      </c>
      <c r="T32" s="1449">
        <f t="shared" si="7"/>
        <v>2591.7591000000002</v>
      </c>
      <c r="U32" s="919">
        <v>0</v>
      </c>
      <c r="V32" s="920">
        <v>0</v>
      </c>
      <c r="W32" s="920">
        <v>0</v>
      </c>
      <c r="X32" s="547">
        <v>0</v>
      </c>
      <c r="Y32" s="578">
        <v>0</v>
      </c>
      <c r="Z32" s="921">
        <f>3097+1178.19077-700+889</f>
        <v>4464.1907700000002</v>
      </c>
      <c r="AA32" s="556">
        <v>0</v>
      </c>
      <c r="AB32" s="920">
        <v>0</v>
      </c>
      <c r="AC32" s="921">
        <v>0</v>
      </c>
      <c r="AD32" s="1093">
        <v>0</v>
      </c>
      <c r="AE32" s="359" t="s">
        <v>1423</v>
      </c>
      <c r="AF32" s="591" t="s">
        <v>43</v>
      </c>
      <c r="AG32" s="909" t="s">
        <v>881</v>
      </c>
      <c r="AH32" s="909" t="s">
        <v>514</v>
      </c>
      <c r="AI32" s="910" t="s">
        <v>514</v>
      </c>
    </row>
    <row r="33" spans="1:36" ht="25.5" x14ac:dyDescent="0.25">
      <c r="A33" s="1017" t="s">
        <v>504</v>
      </c>
      <c r="B33" s="1978" t="s">
        <v>994</v>
      </c>
      <c r="C33" s="353">
        <v>2018</v>
      </c>
      <c r="D33" s="353" t="s">
        <v>502</v>
      </c>
      <c r="E33" s="811" t="s">
        <v>11</v>
      </c>
      <c r="F33" s="811" t="s">
        <v>11</v>
      </c>
      <c r="G33" s="1018" t="s">
        <v>50</v>
      </c>
      <c r="H33" s="376">
        <f>700-137.82916</f>
        <v>562.17084</v>
      </c>
      <c r="I33" s="376">
        <v>0</v>
      </c>
      <c r="J33" s="418">
        <v>0</v>
      </c>
      <c r="K33" s="412">
        <v>0</v>
      </c>
      <c r="L33" s="1920">
        <v>562.17084</v>
      </c>
      <c r="M33" s="1921">
        <v>0</v>
      </c>
      <c r="N33" s="929">
        <v>0</v>
      </c>
      <c r="O33" s="593">
        <v>0</v>
      </c>
      <c r="P33" s="594">
        <v>0</v>
      </c>
      <c r="Q33" s="594">
        <v>562.17084</v>
      </c>
      <c r="R33" s="1320">
        <v>700</v>
      </c>
      <c r="S33" s="1321">
        <v>-137.82916</v>
      </c>
      <c r="T33" s="1320">
        <f t="shared" si="7"/>
        <v>562.17084</v>
      </c>
      <c r="U33" s="929">
        <v>0</v>
      </c>
      <c r="V33" s="594">
        <v>0</v>
      </c>
      <c r="W33" s="594">
        <v>0</v>
      </c>
      <c r="X33" s="572">
        <v>0</v>
      </c>
      <c r="Y33" s="810">
        <v>0</v>
      </c>
      <c r="Z33" s="930">
        <v>0</v>
      </c>
      <c r="AA33" s="1122">
        <v>0</v>
      </c>
      <c r="AB33" s="594">
        <v>0</v>
      </c>
      <c r="AC33" s="930">
        <v>0</v>
      </c>
      <c r="AD33" s="1011">
        <v>0</v>
      </c>
      <c r="AE33" s="211" t="s">
        <v>1424</v>
      </c>
      <c r="AF33" s="522" t="s">
        <v>13</v>
      </c>
      <c r="AG33" s="911" t="s">
        <v>208</v>
      </c>
      <c r="AH33" s="1000" t="s">
        <v>513</v>
      </c>
      <c r="AI33" s="912" t="s">
        <v>513</v>
      </c>
    </row>
    <row r="34" spans="1:36" s="405" customFormat="1" ht="25.5" x14ac:dyDescent="0.25">
      <c r="A34" s="1165" t="s">
        <v>505</v>
      </c>
      <c r="B34" s="1979" t="s">
        <v>486</v>
      </c>
      <c r="C34" s="470">
        <v>2018</v>
      </c>
      <c r="D34" s="470" t="s">
        <v>502</v>
      </c>
      <c r="E34" s="986" t="s">
        <v>11</v>
      </c>
      <c r="F34" s="986" t="s">
        <v>11</v>
      </c>
      <c r="G34" s="937" t="s">
        <v>51</v>
      </c>
      <c r="H34" s="985">
        <f>2000+406+2500</f>
        <v>4906</v>
      </c>
      <c r="I34" s="985">
        <v>229.63100000000003</v>
      </c>
      <c r="J34" s="1209">
        <v>0</v>
      </c>
      <c r="K34" s="1914">
        <v>1644.491</v>
      </c>
      <c r="L34" s="1914">
        <v>0</v>
      </c>
      <c r="M34" s="1480">
        <v>0</v>
      </c>
      <c r="N34" s="940">
        <v>0</v>
      </c>
      <c r="O34" s="1162">
        <v>0</v>
      </c>
      <c r="P34" s="941">
        <v>1644.491</v>
      </c>
      <c r="Q34" s="560">
        <v>60</v>
      </c>
      <c r="R34" s="1481">
        <v>2176.3690000000001</v>
      </c>
      <c r="S34" s="1482">
        <f>-531.878+60</f>
        <v>-471.87800000000004</v>
      </c>
      <c r="T34" s="1481">
        <f t="shared" si="7"/>
        <v>1704.491</v>
      </c>
      <c r="U34" s="1849">
        <v>0</v>
      </c>
      <c r="V34" s="560">
        <f>125.878+406</f>
        <v>531.87800000000004</v>
      </c>
      <c r="W34" s="1850">
        <v>1440</v>
      </c>
      <c r="X34" s="1851">
        <v>0</v>
      </c>
      <c r="Y34" s="1852">
        <f>125.878+406+1500-60</f>
        <v>1971.8780000000002</v>
      </c>
      <c r="Z34" s="1853">
        <v>1000</v>
      </c>
      <c r="AA34" s="559">
        <v>0</v>
      </c>
      <c r="AB34" s="1850">
        <v>0</v>
      </c>
      <c r="AC34" s="1853">
        <v>0</v>
      </c>
      <c r="AD34" s="2063">
        <v>0</v>
      </c>
      <c r="AE34" s="573" t="s">
        <v>1425</v>
      </c>
      <c r="AF34" s="592" t="s">
        <v>43</v>
      </c>
      <c r="AG34" s="943" t="s">
        <v>609</v>
      </c>
      <c r="AH34" s="943" t="s">
        <v>514</v>
      </c>
      <c r="AI34" s="944" t="s">
        <v>514</v>
      </c>
    </row>
    <row r="35" spans="1:36" s="405" customFormat="1" ht="30.75" thickBot="1" x14ac:dyDescent="0.3">
      <c r="A35" s="993" t="s">
        <v>506</v>
      </c>
      <c r="B35" s="1980" t="s">
        <v>507</v>
      </c>
      <c r="C35" s="582">
        <v>2018</v>
      </c>
      <c r="D35" s="582" t="s">
        <v>502</v>
      </c>
      <c r="E35" s="1097" t="s">
        <v>11</v>
      </c>
      <c r="F35" s="1097" t="s">
        <v>11</v>
      </c>
      <c r="G35" s="1027" t="s">
        <v>52</v>
      </c>
      <c r="H35" s="552">
        <f>3000-406</f>
        <v>2594</v>
      </c>
      <c r="I35" s="552">
        <v>0</v>
      </c>
      <c r="J35" s="552">
        <v>0</v>
      </c>
      <c r="K35" s="1901">
        <v>593.38</v>
      </c>
      <c r="L35" s="1902">
        <v>0</v>
      </c>
      <c r="M35" s="1459">
        <v>0</v>
      </c>
      <c r="N35" s="919">
        <v>0</v>
      </c>
      <c r="O35" s="1096">
        <v>0</v>
      </c>
      <c r="P35" s="920">
        <v>593.38</v>
      </c>
      <c r="Q35" s="920">
        <v>0</v>
      </c>
      <c r="R35" s="1460">
        <v>594</v>
      </c>
      <c r="S35" s="1461">
        <v>-0.62</v>
      </c>
      <c r="T35" s="1460">
        <f t="shared" si="7"/>
        <v>593.38</v>
      </c>
      <c r="U35" s="1091">
        <v>0</v>
      </c>
      <c r="V35" s="1090">
        <v>0</v>
      </c>
      <c r="W35" s="1090">
        <f>2000+0.62</f>
        <v>2000.62</v>
      </c>
      <c r="X35" s="1089">
        <v>0</v>
      </c>
      <c r="Y35" s="1094">
        <f>2000+0.62</f>
        <v>2000.62</v>
      </c>
      <c r="Z35" s="1002">
        <v>0</v>
      </c>
      <c r="AA35" s="556">
        <v>0</v>
      </c>
      <c r="AB35" s="1090">
        <v>0</v>
      </c>
      <c r="AC35" s="1002">
        <v>0</v>
      </c>
      <c r="AD35" s="1092">
        <v>0</v>
      </c>
      <c r="AE35" s="359" t="s">
        <v>1426</v>
      </c>
      <c r="AF35" s="591" t="s">
        <v>43</v>
      </c>
      <c r="AG35" s="909" t="s">
        <v>616</v>
      </c>
      <c r="AH35" s="909" t="s">
        <v>514</v>
      </c>
      <c r="AI35" s="910" t="s">
        <v>514</v>
      </c>
    </row>
    <row r="36" spans="1:36" ht="30.75" thickBot="1" x14ac:dyDescent="0.3">
      <c r="A36" s="1774" t="s">
        <v>508</v>
      </c>
      <c r="B36" s="1775" t="s">
        <v>509</v>
      </c>
      <c r="C36" s="1776">
        <v>2019</v>
      </c>
      <c r="D36" s="1776" t="s">
        <v>568</v>
      </c>
      <c r="E36" s="1777" t="s">
        <v>11</v>
      </c>
      <c r="F36" s="759" t="s">
        <v>11</v>
      </c>
      <c r="G36" s="1778" t="s">
        <v>510</v>
      </c>
      <c r="H36" s="1779">
        <v>0</v>
      </c>
      <c r="I36" s="1779">
        <v>0</v>
      </c>
      <c r="J36" s="130">
        <v>0</v>
      </c>
      <c r="K36" s="1964">
        <v>0</v>
      </c>
      <c r="L36" s="1897">
        <v>0</v>
      </c>
      <c r="M36" s="1253">
        <v>0</v>
      </c>
      <c r="N36" s="1780">
        <v>0</v>
      </c>
      <c r="O36" s="1781">
        <v>0</v>
      </c>
      <c r="P36" s="1782">
        <v>0</v>
      </c>
      <c r="Q36" s="1783">
        <v>0</v>
      </c>
      <c r="R36" s="1784">
        <v>0</v>
      </c>
      <c r="S36" s="1785">
        <v>0</v>
      </c>
      <c r="T36" s="1784">
        <f t="shared" si="7"/>
        <v>0</v>
      </c>
      <c r="U36" s="1780">
        <v>0</v>
      </c>
      <c r="V36" s="1781">
        <v>0</v>
      </c>
      <c r="W36" s="1782">
        <v>0</v>
      </c>
      <c r="X36" s="1783">
        <v>0</v>
      </c>
      <c r="Y36" s="1786">
        <v>0</v>
      </c>
      <c r="Z36" s="1787">
        <v>0</v>
      </c>
      <c r="AA36" s="1985">
        <v>0</v>
      </c>
      <c r="AB36" s="1782">
        <v>0</v>
      </c>
      <c r="AC36" s="1787">
        <v>0</v>
      </c>
      <c r="AD36" s="2064">
        <v>0</v>
      </c>
      <c r="AE36" s="1788" t="s">
        <v>484</v>
      </c>
      <c r="AF36" s="393" t="s">
        <v>516</v>
      </c>
      <c r="AG36" s="1789" t="s">
        <v>732</v>
      </c>
      <c r="AH36" s="1790" t="s">
        <v>513</v>
      </c>
      <c r="AI36" s="1791" t="s">
        <v>513</v>
      </c>
    </row>
    <row r="37" spans="1:36" ht="26.25" thickBot="1" x14ac:dyDescent="0.3">
      <c r="A37" s="1792" t="s">
        <v>837</v>
      </c>
      <c r="B37" s="1793" t="s">
        <v>494</v>
      </c>
      <c r="C37" s="1791">
        <v>2019</v>
      </c>
      <c r="D37" s="1791" t="s">
        <v>969</v>
      </c>
      <c r="E37" s="1777" t="s">
        <v>11</v>
      </c>
      <c r="F37" s="1777" t="s">
        <v>11</v>
      </c>
      <c r="G37" s="1778" t="s">
        <v>838</v>
      </c>
      <c r="H37" s="1779">
        <v>0</v>
      </c>
      <c r="I37" s="1779">
        <v>0</v>
      </c>
      <c r="J37" s="130">
        <v>0</v>
      </c>
      <c r="K37" s="1964">
        <v>0</v>
      </c>
      <c r="L37" s="1897">
        <v>0</v>
      </c>
      <c r="M37" s="1253">
        <v>0</v>
      </c>
      <c r="N37" s="1780">
        <v>0</v>
      </c>
      <c r="O37" s="1781">
        <v>0</v>
      </c>
      <c r="P37" s="1782">
        <v>0</v>
      </c>
      <c r="Q37" s="1783">
        <v>0</v>
      </c>
      <c r="R37" s="1784">
        <v>0</v>
      </c>
      <c r="S37" s="1785">
        <v>0</v>
      </c>
      <c r="T37" s="1784">
        <f t="shared" si="7"/>
        <v>0</v>
      </c>
      <c r="U37" s="1780">
        <v>0</v>
      </c>
      <c r="V37" s="1782">
        <v>0</v>
      </c>
      <c r="W37" s="1782">
        <v>0</v>
      </c>
      <c r="X37" s="1783">
        <v>0</v>
      </c>
      <c r="Y37" s="1786">
        <v>0</v>
      </c>
      <c r="Z37" s="1787">
        <v>0</v>
      </c>
      <c r="AA37" s="1985">
        <v>0</v>
      </c>
      <c r="AB37" s="1782">
        <v>0</v>
      </c>
      <c r="AC37" s="1787">
        <v>0</v>
      </c>
      <c r="AD37" s="2064">
        <v>0</v>
      </c>
      <c r="AE37" s="1788" t="s">
        <v>1238</v>
      </c>
      <c r="AF37" s="393" t="s">
        <v>516</v>
      </c>
      <c r="AG37" s="1789" t="s">
        <v>732</v>
      </c>
      <c r="AH37" s="1790" t="s">
        <v>513</v>
      </c>
      <c r="AI37" s="1791" t="s">
        <v>513</v>
      </c>
    </row>
    <row r="38" spans="1:36" ht="26.25" thickBot="1" x14ac:dyDescent="0.3">
      <c r="A38" s="1794" t="s">
        <v>839</v>
      </c>
      <c r="B38" s="1795" t="s">
        <v>494</v>
      </c>
      <c r="C38" s="1062">
        <v>2019</v>
      </c>
      <c r="D38" s="1062" t="s">
        <v>969</v>
      </c>
      <c r="E38" s="1796" t="s">
        <v>11</v>
      </c>
      <c r="F38" s="1796" t="s">
        <v>11</v>
      </c>
      <c r="G38" s="1797" t="s">
        <v>840</v>
      </c>
      <c r="H38" s="1779">
        <v>0</v>
      </c>
      <c r="I38" s="1057">
        <v>0</v>
      </c>
      <c r="J38" s="158">
        <v>0</v>
      </c>
      <c r="K38" s="1964">
        <v>0</v>
      </c>
      <c r="L38" s="1380">
        <v>0</v>
      </c>
      <c r="M38" s="1250">
        <v>0</v>
      </c>
      <c r="N38" s="1798">
        <v>0</v>
      </c>
      <c r="O38" s="1799">
        <v>0</v>
      </c>
      <c r="P38" s="1059">
        <v>0</v>
      </c>
      <c r="Q38" s="1058">
        <v>0</v>
      </c>
      <c r="R38" s="1264">
        <v>0</v>
      </c>
      <c r="S38" s="1265">
        <v>0</v>
      </c>
      <c r="T38" s="1264">
        <f t="shared" si="7"/>
        <v>0</v>
      </c>
      <c r="U38" s="1798">
        <v>0</v>
      </c>
      <c r="V38" s="1782">
        <v>0</v>
      </c>
      <c r="W38" s="1782">
        <v>0</v>
      </c>
      <c r="X38" s="1783">
        <v>0</v>
      </c>
      <c r="Y38" s="1786">
        <v>0</v>
      </c>
      <c r="Z38" s="1060">
        <v>0</v>
      </c>
      <c r="AA38" s="1986">
        <v>0</v>
      </c>
      <c r="AB38" s="1059">
        <v>0</v>
      </c>
      <c r="AC38" s="1060">
        <v>0</v>
      </c>
      <c r="AD38" s="2065">
        <v>0</v>
      </c>
      <c r="AE38" s="516" t="s">
        <v>484</v>
      </c>
      <c r="AF38" s="321" t="s">
        <v>516</v>
      </c>
      <c r="AG38" s="1812" t="s">
        <v>616</v>
      </c>
      <c r="AH38" s="1061" t="s">
        <v>513</v>
      </c>
      <c r="AI38" s="1800" t="s">
        <v>513</v>
      </c>
    </row>
    <row r="39" spans="1:36" ht="25.5" x14ac:dyDescent="0.25">
      <c r="A39" s="1069" t="s">
        <v>882</v>
      </c>
      <c r="B39" s="1070" t="s">
        <v>1164</v>
      </c>
      <c r="C39" s="550">
        <v>2020</v>
      </c>
      <c r="D39" s="550" t="s">
        <v>990</v>
      </c>
      <c r="E39" s="1075" t="s">
        <v>11</v>
      </c>
      <c r="F39" s="1075" t="s">
        <v>11</v>
      </c>
      <c r="G39" s="1222" t="s">
        <v>883</v>
      </c>
      <c r="H39" s="1207">
        <v>18200</v>
      </c>
      <c r="I39" s="1207">
        <v>0</v>
      </c>
      <c r="J39" s="1207">
        <v>0</v>
      </c>
      <c r="K39" s="1837">
        <v>0</v>
      </c>
      <c r="L39" s="1838">
        <v>0</v>
      </c>
      <c r="M39" s="1448">
        <v>0</v>
      </c>
      <c r="N39" s="1612">
        <v>0</v>
      </c>
      <c r="O39" s="1078">
        <v>0</v>
      </c>
      <c r="P39" s="1604">
        <v>0</v>
      </c>
      <c r="Q39" s="1604">
        <v>0</v>
      </c>
      <c r="R39" s="1737">
        <v>12000</v>
      </c>
      <c r="S39" s="1839">
        <v>-12000</v>
      </c>
      <c r="T39" s="1737">
        <f t="shared" si="7"/>
        <v>0</v>
      </c>
      <c r="U39" s="1612">
        <v>0</v>
      </c>
      <c r="V39" s="1604">
        <v>12000</v>
      </c>
      <c r="W39" s="1604">
        <v>0</v>
      </c>
      <c r="X39" s="1596">
        <v>0</v>
      </c>
      <c r="Y39" s="627">
        <v>12000</v>
      </c>
      <c r="Z39" s="1840">
        <v>6200</v>
      </c>
      <c r="AA39" s="545">
        <v>0</v>
      </c>
      <c r="AB39" s="1604">
        <v>0</v>
      </c>
      <c r="AC39" s="1840">
        <v>0</v>
      </c>
      <c r="AD39" s="1737">
        <v>0</v>
      </c>
      <c r="AE39" s="550" t="s">
        <v>1334</v>
      </c>
      <c r="AF39" s="1841" t="s">
        <v>19</v>
      </c>
      <c r="AG39" s="1842" t="s">
        <v>609</v>
      </c>
      <c r="AH39" s="1841" t="s">
        <v>513</v>
      </c>
      <c r="AI39" s="550" t="s">
        <v>513</v>
      </c>
    </row>
    <row r="40" spans="1:36" ht="45.75" thickBot="1" x14ac:dyDescent="0.3">
      <c r="A40" s="1001" t="s">
        <v>884</v>
      </c>
      <c r="B40" s="1836" t="s">
        <v>1165</v>
      </c>
      <c r="C40" s="453">
        <v>2020</v>
      </c>
      <c r="D40" s="1519" t="s">
        <v>990</v>
      </c>
      <c r="E40" s="1843" t="s">
        <v>11</v>
      </c>
      <c r="F40" s="1843" t="s">
        <v>11</v>
      </c>
      <c r="G40" s="1844" t="s">
        <v>885</v>
      </c>
      <c r="H40" s="1210">
        <f>8000+4300</f>
        <v>12300</v>
      </c>
      <c r="I40" s="1210">
        <v>0</v>
      </c>
      <c r="J40" s="1210">
        <v>0</v>
      </c>
      <c r="K40" s="1210">
        <v>0</v>
      </c>
      <c r="L40" s="1210">
        <v>0</v>
      </c>
      <c r="M40" s="1459">
        <v>0</v>
      </c>
      <c r="N40" s="1523">
        <v>0</v>
      </c>
      <c r="O40" s="1845">
        <v>0</v>
      </c>
      <c r="P40" s="1524">
        <v>0</v>
      </c>
      <c r="Q40" s="1524">
        <v>9200</v>
      </c>
      <c r="R40" s="1824">
        <v>12300</v>
      </c>
      <c r="S40" s="1825">
        <v>-3100</v>
      </c>
      <c r="T40" s="1824">
        <f t="shared" si="7"/>
        <v>9200</v>
      </c>
      <c r="U40" s="1523">
        <v>0</v>
      </c>
      <c r="V40" s="1524">
        <v>0</v>
      </c>
      <c r="W40" s="1524">
        <v>0</v>
      </c>
      <c r="X40" s="633">
        <v>0</v>
      </c>
      <c r="Y40" s="619">
        <v>0</v>
      </c>
      <c r="Z40" s="1527">
        <v>3100</v>
      </c>
      <c r="AA40" s="1879">
        <v>0</v>
      </c>
      <c r="AB40" s="1524">
        <v>0</v>
      </c>
      <c r="AC40" s="1527">
        <v>0</v>
      </c>
      <c r="AD40" s="1824">
        <v>0</v>
      </c>
      <c r="AE40" s="1519" t="s">
        <v>1502</v>
      </c>
      <c r="AF40" s="1478" t="s">
        <v>13</v>
      </c>
      <c r="AG40" s="1846" t="s">
        <v>208</v>
      </c>
      <c r="AH40" s="1847" t="s">
        <v>513</v>
      </c>
      <c r="AI40" s="1846" t="s">
        <v>513</v>
      </c>
    </row>
    <row r="41" spans="1:36" ht="30" x14ac:dyDescent="0.25">
      <c r="A41" s="1801" t="s">
        <v>995</v>
      </c>
      <c r="B41" s="1802" t="s">
        <v>494</v>
      </c>
      <c r="C41" s="1803">
        <v>2020</v>
      </c>
      <c r="D41" s="1804" t="s">
        <v>1213</v>
      </c>
      <c r="E41" s="273" t="s">
        <v>11</v>
      </c>
      <c r="F41" s="273" t="s">
        <v>11</v>
      </c>
      <c r="G41" s="1805" t="s">
        <v>996</v>
      </c>
      <c r="H41" s="1806">
        <v>0</v>
      </c>
      <c r="I41" s="1806">
        <v>0</v>
      </c>
      <c r="J41" s="1">
        <v>0</v>
      </c>
      <c r="K41" s="412">
        <v>0</v>
      </c>
      <c r="L41" s="412">
        <v>0</v>
      </c>
      <c r="M41" s="839">
        <v>0</v>
      </c>
      <c r="N41" s="1807">
        <v>0</v>
      </c>
      <c r="O41" s="1808">
        <v>0</v>
      </c>
      <c r="P41" s="1809">
        <v>0</v>
      </c>
      <c r="Q41" s="1810">
        <v>0</v>
      </c>
      <c r="R41" s="1266">
        <v>400</v>
      </c>
      <c r="S41" s="1823">
        <v>-400</v>
      </c>
      <c r="T41" s="1318">
        <f t="shared" si="7"/>
        <v>0</v>
      </c>
      <c r="U41" s="1807">
        <v>0</v>
      </c>
      <c r="V41" s="1809">
        <v>0</v>
      </c>
      <c r="W41" s="1809">
        <v>0</v>
      </c>
      <c r="X41" s="1810">
        <v>0</v>
      </c>
      <c r="Y41" s="536">
        <v>0</v>
      </c>
      <c r="Z41" s="537">
        <v>0</v>
      </c>
      <c r="AA41" s="1987">
        <v>0</v>
      </c>
      <c r="AB41" s="1809">
        <v>0</v>
      </c>
      <c r="AC41" s="537">
        <v>0</v>
      </c>
      <c r="AD41" s="2066">
        <v>0</v>
      </c>
      <c r="AE41" s="118" t="s">
        <v>484</v>
      </c>
      <c r="AF41" s="538" t="s">
        <v>516</v>
      </c>
      <c r="AG41" s="1811" t="s">
        <v>540</v>
      </c>
      <c r="AH41" s="1811" t="s">
        <v>513</v>
      </c>
      <c r="AI41" s="1067" t="s">
        <v>513</v>
      </c>
    </row>
    <row r="42" spans="1:36" ht="30" x14ac:dyDescent="0.25">
      <c r="A42" s="1832" t="s">
        <v>997</v>
      </c>
      <c r="B42" s="1833" t="s">
        <v>494</v>
      </c>
      <c r="C42" s="1166">
        <v>2020</v>
      </c>
      <c r="D42" s="1745" t="s">
        <v>1213</v>
      </c>
      <c r="E42" s="1608" t="s">
        <v>11</v>
      </c>
      <c r="F42" s="1608" t="s">
        <v>11</v>
      </c>
      <c r="G42" s="1834" t="s">
        <v>998</v>
      </c>
      <c r="H42" s="558">
        <f>550+137.82916</f>
        <v>687.82916</v>
      </c>
      <c r="I42" s="558">
        <v>0</v>
      </c>
      <c r="J42" s="1209">
        <v>0</v>
      </c>
      <c r="K42" s="1914">
        <v>0</v>
      </c>
      <c r="L42" s="1914">
        <v>0</v>
      </c>
      <c r="M42" s="1480">
        <v>0</v>
      </c>
      <c r="N42" s="940">
        <v>0</v>
      </c>
      <c r="O42" s="1162">
        <v>0</v>
      </c>
      <c r="P42" s="941">
        <v>0</v>
      </c>
      <c r="Q42" s="560">
        <v>106.48</v>
      </c>
      <c r="R42" s="1747">
        <v>550</v>
      </c>
      <c r="S42" s="1748">
        <v>-443.52</v>
      </c>
      <c r="T42" s="1481">
        <f t="shared" si="7"/>
        <v>106.48000000000002</v>
      </c>
      <c r="U42" s="940">
        <v>0</v>
      </c>
      <c r="V42" s="941">
        <v>443.52</v>
      </c>
      <c r="W42" s="941">
        <v>137.82916</v>
      </c>
      <c r="X42" s="560">
        <v>0</v>
      </c>
      <c r="Y42" s="587">
        <f>443.52+137.82916</f>
        <v>581.34915999999998</v>
      </c>
      <c r="Z42" s="640">
        <v>0</v>
      </c>
      <c r="AA42" s="559">
        <v>0</v>
      </c>
      <c r="AB42" s="941">
        <v>0</v>
      </c>
      <c r="AC42" s="640">
        <v>0</v>
      </c>
      <c r="AD42" s="1163">
        <v>0</v>
      </c>
      <c r="AE42" s="573" t="s">
        <v>1427</v>
      </c>
      <c r="AF42" s="592" t="s">
        <v>43</v>
      </c>
      <c r="AG42" s="943" t="s">
        <v>899</v>
      </c>
      <c r="AH42" s="943" t="s">
        <v>514</v>
      </c>
      <c r="AI42" s="944" t="s">
        <v>514</v>
      </c>
    </row>
    <row r="43" spans="1:36" s="1339" customFormat="1" ht="30" x14ac:dyDescent="0.25">
      <c r="A43" s="993" t="s">
        <v>999</v>
      </c>
      <c r="B43" s="1830" t="s">
        <v>494</v>
      </c>
      <c r="C43" s="454">
        <v>2020</v>
      </c>
      <c r="D43" s="1904" t="s">
        <v>1213</v>
      </c>
      <c r="E43" s="1831" t="s">
        <v>11</v>
      </c>
      <c r="F43" s="1831" t="s">
        <v>11</v>
      </c>
      <c r="G43" s="1224" t="s">
        <v>1000</v>
      </c>
      <c r="H43" s="551">
        <v>400</v>
      </c>
      <c r="I43" s="551">
        <v>0</v>
      </c>
      <c r="J43" s="543">
        <v>0</v>
      </c>
      <c r="K43" s="1901">
        <v>0</v>
      </c>
      <c r="L43" s="1901">
        <v>0</v>
      </c>
      <c r="M43" s="1553">
        <v>0</v>
      </c>
      <c r="N43" s="919">
        <v>0</v>
      </c>
      <c r="O43" s="1096">
        <v>0</v>
      </c>
      <c r="P43" s="920">
        <v>0</v>
      </c>
      <c r="Q43" s="547">
        <v>0</v>
      </c>
      <c r="R43" s="1449">
        <v>400</v>
      </c>
      <c r="S43" s="1450">
        <v>-400</v>
      </c>
      <c r="T43" s="1449">
        <f t="shared" si="7"/>
        <v>0</v>
      </c>
      <c r="U43" s="919">
        <v>0</v>
      </c>
      <c r="V43" s="920">
        <v>400</v>
      </c>
      <c r="W43" s="920">
        <v>0</v>
      </c>
      <c r="X43" s="547">
        <v>0</v>
      </c>
      <c r="Y43" s="578">
        <v>400</v>
      </c>
      <c r="Z43" s="921">
        <v>0</v>
      </c>
      <c r="AA43" s="556">
        <v>0</v>
      </c>
      <c r="AB43" s="920">
        <v>0</v>
      </c>
      <c r="AC43" s="921">
        <v>0</v>
      </c>
      <c r="AD43" s="1092">
        <v>0</v>
      </c>
      <c r="AE43" s="454" t="s">
        <v>1433</v>
      </c>
      <c r="AF43" s="591" t="s">
        <v>19</v>
      </c>
      <c r="AG43" s="909" t="s">
        <v>208</v>
      </c>
      <c r="AH43" s="909" t="s">
        <v>513</v>
      </c>
      <c r="AI43" s="910" t="s">
        <v>513</v>
      </c>
    </row>
    <row r="44" spans="1:36" ht="30.75" thickBot="1" x14ac:dyDescent="0.3">
      <c r="A44" s="1517" t="s">
        <v>1001</v>
      </c>
      <c r="B44" s="1848" t="s">
        <v>494</v>
      </c>
      <c r="C44" s="1519">
        <v>2020</v>
      </c>
      <c r="D44" s="1905" t="s">
        <v>1213</v>
      </c>
      <c r="E44" s="1843" t="s">
        <v>11</v>
      </c>
      <c r="F44" s="1843" t="s">
        <v>11</v>
      </c>
      <c r="G44" s="1844" t="s">
        <v>1002</v>
      </c>
      <c r="H44" s="583">
        <v>802</v>
      </c>
      <c r="I44" s="583">
        <v>0</v>
      </c>
      <c r="J44" s="1210">
        <v>0</v>
      </c>
      <c r="K44" s="1906">
        <v>0</v>
      </c>
      <c r="L44" s="1903">
        <v>0</v>
      </c>
      <c r="M44" s="1459">
        <v>0</v>
      </c>
      <c r="N44" s="955">
        <v>0</v>
      </c>
      <c r="O44" s="1099">
        <v>0</v>
      </c>
      <c r="P44" s="956">
        <v>0</v>
      </c>
      <c r="Q44" s="1038">
        <v>0</v>
      </c>
      <c r="R44" s="1460">
        <v>802</v>
      </c>
      <c r="S44" s="1461">
        <v>-802</v>
      </c>
      <c r="T44" s="1460">
        <f t="shared" si="7"/>
        <v>0</v>
      </c>
      <c r="U44" s="955">
        <v>0</v>
      </c>
      <c r="V44" s="1038">
        <v>802</v>
      </c>
      <c r="W44" s="956">
        <v>0</v>
      </c>
      <c r="X44" s="1038">
        <v>0</v>
      </c>
      <c r="Y44" s="585">
        <v>802</v>
      </c>
      <c r="Z44" s="957">
        <v>0</v>
      </c>
      <c r="AA44" s="629">
        <v>0</v>
      </c>
      <c r="AB44" s="956">
        <v>0</v>
      </c>
      <c r="AC44" s="957">
        <v>0</v>
      </c>
      <c r="AD44" s="1100">
        <v>0</v>
      </c>
      <c r="AE44" s="1473" t="s">
        <v>1428</v>
      </c>
      <c r="AF44" s="1610" t="s">
        <v>19</v>
      </c>
      <c r="AG44" s="960" t="s">
        <v>616</v>
      </c>
      <c r="AH44" s="960" t="s">
        <v>513</v>
      </c>
      <c r="AI44" s="961" t="s">
        <v>513</v>
      </c>
    </row>
    <row r="45" spans="1:36" ht="30" x14ac:dyDescent="0.25">
      <c r="A45" s="1144" t="s">
        <v>1429</v>
      </c>
      <c r="B45" s="1937" t="s">
        <v>494</v>
      </c>
      <c r="C45" s="357">
        <v>2020</v>
      </c>
      <c r="D45" s="1938" t="s">
        <v>484</v>
      </c>
      <c r="E45" s="1939" t="s">
        <v>11</v>
      </c>
      <c r="F45" s="1939" t="s">
        <v>11</v>
      </c>
      <c r="G45" s="1940" t="s">
        <v>1430</v>
      </c>
      <c r="H45" s="1941">
        <v>3000</v>
      </c>
      <c r="I45" s="1941">
        <v>0</v>
      </c>
      <c r="J45" s="390">
        <v>0</v>
      </c>
      <c r="K45" s="390">
        <v>0</v>
      </c>
      <c r="L45" s="1258">
        <v>0</v>
      </c>
      <c r="M45" s="1649">
        <v>0</v>
      </c>
      <c r="N45" s="1942">
        <v>0</v>
      </c>
      <c r="O45" s="1943">
        <v>0</v>
      </c>
      <c r="P45" s="1944">
        <v>0</v>
      </c>
      <c r="Q45" s="1945">
        <v>0</v>
      </c>
      <c r="R45" s="1946">
        <v>0</v>
      </c>
      <c r="S45" s="1947">
        <v>0</v>
      </c>
      <c r="T45" s="1946">
        <v>0</v>
      </c>
      <c r="U45" s="1942">
        <v>0</v>
      </c>
      <c r="V45" s="1945">
        <v>0</v>
      </c>
      <c r="W45" s="1944">
        <v>3000</v>
      </c>
      <c r="X45" s="1945">
        <v>0</v>
      </c>
      <c r="Y45" s="1948">
        <v>3000</v>
      </c>
      <c r="Z45" s="1949">
        <v>0</v>
      </c>
      <c r="AA45" s="1988">
        <v>0</v>
      </c>
      <c r="AB45" s="1944">
        <v>0</v>
      </c>
      <c r="AC45" s="1949">
        <v>0</v>
      </c>
      <c r="AD45" s="2067">
        <v>0</v>
      </c>
      <c r="AE45" s="1950" t="s">
        <v>484</v>
      </c>
      <c r="AF45" s="1951" t="s">
        <v>19</v>
      </c>
      <c r="AG45" s="1952" t="s">
        <v>899</v>
      </c>
      <c r="AH45" s="1952" t="s">
        <v>513</v>
      </c>
      <c r="AI45" s="1953" t="s">
        <v>513</v>
      </c>
    </row>
    <row r="46" spans="1:36" s="756" customFormat="1" ht="15.75" thickBot="1" x14ac:dyDescent="0.3">
      <c r="A46" s="156" t="s">
        <v>544</v>
      </c>
      <c r="B46" s="190" t="s">
        <v>544</v>
      </c>
      <c r="C46" s="54" t="s">
        <v>544</v>
      </c>
      <c r="D46" s="54" t="s">
        <v>544</v>
      </c>
      <c r="E46" s="89" t="s">
        <v>544</v>
      </c>
      <c r="F46" s="89" t="s">
        <v>544</v>
      </c>
      <c r="G46" s="1223" t="s">
        <v>544</v>
      </c>
      <c r="H46" s="858" t="s">
        <v>544</v>
      </c>
      <c r="I46" s="858" t="s">
        <v>544</v>
      </c>
      <c r="J46" s="888" t="s">
        <v>544</v>
      </c>
      <c r="K46" s="858" t="s">
        <v>544</v>
      </c>
      <c r="L46" s="888" t="s">
        <v>544</v>
      </c>
      <c r="M46" s="858" t="s">
        <v>544</v>
      </c>
      <c r="N46" s="858" t="s">
        <v>544</v>
      </c>
      <c r="O46" s="868" t="s">
        <v>544</v>
      </c>
      <c r="P46" s="861" t="s">
        <v>544</v>
      </c>
      <c r="Q46" s="859" t="s">
        <v>544</v>
      </c>
      <c r="R46" s="1156" t="s">
        <v>544</v>
      </c>
      <c r="S46" s="884" t="s">
        <v>544</v>
      </c>
      <c r="T46" s="1156" t="s">
        <v>544</v>
      </c>
      <c r="U46" s="1157" t="s">
        <v>544</v>
      </c>
      <c r="V46" s="861" t="s">
        <v>544</v>
      </c>
      <c r="W46" s="861" t="s">
        <v>544</v>
      </c>
      <c r="X46" s="791" t="s">
        <v>544</v>
      </c>
      <c r="Y46" s="431" t="s">
        <v>544</v>
      </c>
      <c r="Z46" s="791" t="s">
        <v>544</v>
      </c>
      <c r="AA46" s="1181" t="s">
        <v>544</v>
      </c>
      <c r="AB46" s="861" t="s">
        <v>544</v>
      </c>
      <c r="AC46" s="791" t="s">
        <v>544</v>
      </c>
      <c r="AD46" s="791" t="s">
        <v>544</v>
      </c>
      <c r="AE46" s="791" t="s">
        <v>544</v>
      </c>
      <c r="AF46" s="157" t="s">
        <v>544</v>
      </c>
      <c r="AG46" s="710" t="s">
        <v>544</v>
      </c>
      <c r="AH46" s="710" t="s">
        <v>544</v>
      </c>
      <c r="AI46" s="1814" t="s">
        <v>544</v>
      </c>
    </row>
    <row r="47" spans="1:36" ht="41.25" customHeight="1" thickBot="1" x14ac:dyDescent="0.3">
      <c r="A47" s="705" t="s">
        <v>484</v>
      </c>
      <c r="B47" s="706" t="s">
        <v>484</v>
      </c>
      <c r="C47" s="139" t="s">
        <v>484</v>
      </c>
      <c r="D47" s="112" t="s">
        <v>484</v>
      </c>
      <c r="E47" s="112" t="s">
        <v>484</v>
      </c>
      <c r="F47" s="112" t="s">
        <v>484</v>
      </c>
      <c r="G47" s="1221" t="s">
        <v>561</v>
      </c>
      <c r="H47" s="96">
        <f t="shared" ref="H47:Q47" si="8">SUM(H29:H46)</f>
        <v>109917.815</v>
      </c>
      <c r="I47" s="96">
        <f t="shared" si="8"/>
        <v>42718.30603</v>
      </c>
      <c r="J47" s="96">
        <f>SUM(J29:J46)</f>
        <v>8757.9627</v>
      </c>
      <c r="K47" s="827">
        <f>SUM(K29:K46)</f>
        <v>2237.8710000000001</v>
      </c>
      <c r="L47" s="827">
        <f>SUM(L29:L46)</f>
        <v>562.17084</v>
      </c>
      <c r="M47" s="827">
        <f>SUM(M29:M46)</f>
        <v>0</v>
      </c>
      <c r="N47" s="96">
        <f t="shared" si="8"/>
        <v>0</v>
      </c>
      <c r="O47" s="96">
        <f t="shared" si="8"/>
        <v>8757.9627</v>
      </c>
      <c r="P47" s="96">
        <f t="shared" si="8"/>
        <v>2237.8710000000001</v>
      </c>
      <c r="Q47" s="293">
        <f t="shared" si="8"/>
        <v>11739.650839999998</v>
      </c>
      <c r="R47" s="1272">
        <v>42469.331700000002</v>
      </c>
      <c r="S47" s="1273">
        <f t="shared" ref="S47:AD47" si="9">SUM(S29:S46)</f>
        <v>-19733.847160000001</v>
      </c>
      <c r="T47" s="1272">
        <f t="shared" si="9"/>
        <v>22735.484540000001</v>
      </c>
      <c r="U47" s="854">
        <f t="shared" si="9"/>
        <v>1089</v>
      </c>
      <c r="V47" s="855">
        <f t="shared" si="9"/>
        <v>17416.921999999999</v>
      </c>
      <c r="W47" s="855">
        <f t="shared" si="9"/>
        <v>8778.4491600000001</v>
      </c>
      <c r="X47" s="684">
        <f t="shared" si="9"/>
        <v>0</v>
      </c>
      <c r="Y47" s="96">
        <f t="shared" si="9"/>
        <v>27284.371160000002</v>
      </c>
      <c r="Z47" s="293">
        <f t="shared" si="9"/>
        <v>17179.653270000003</v>
      </c>
      <c r="AA47" s="293">
        <f t="shared" si="9"/>
        <v>0</v>
      </c>
      <c r="AB47" s="855">
        <f t="shared" si="9"/>
        <v>0</v>
      </c>
      <c r="AC47" s="292">
        <f t="shared" si="9"/>
        <v>0</v>
      </c>
      <c r="AD47" s="827">
        <f t="shared" si="9"/>
        <v>0</v>
      </c>
      <c r="AE47" s="120" t="s">
        <v>1488</v>
      </c>
      <c r="AF47" s="97" t="s">
        <v>484</v>
      </c>
      <c r="AG47" s="254" t="s">
        <v>484</v>
      </c>
      <c r="AH47" s="254" t="s">
        <v>484</v>
      </c>
      <c r="AI47" s="97" t="s">
        <v>484</v>
      </c>
    </row>
    <row r="48" spans="1:36" s="391" customFormat="1" ht="25.5" x14ac:dyDescent="0.25">
      <c r="A48" s="1172" t="s">
        <v>53</v>
      </c>
      <c r="B48" s="1173" t="s">
        <v>54</v>
      </c>
      <c r="C48" s="453">
        <v>2013</v>
      </c>
      <c r="D48" s="453" t="s">
        <v>632</v>
      </c>
      <c r="E48" s="453" t="s">
        <v>11</v>
      </c>
      <c r="F48" s="1076" t="s">
        <v>11</v>
      </c>
      <c r="G48" s="1224" t="s">
        <v>55</v>
      </c>
      <c r="H48" s="543">
        <f>219905+250000</f>
        <v>469905</v>
      </c>
      <c r="I48" s="543">
        <v>131744.03269000002</v>
      </c>
      <c r="J48" s="552">
        <v>16124.951209999996</v>
      </c>
      <c r="K48" s="1901">
        <v>4666.9547599999996</v>
      </c>
      <c r="L48" s="1539">
        <v>3866.1562800000002</v>
      </c>
      <c r="M48" s="1595">
        <v>0</v>
      </c>
      <c r="N48" s="919">
        <f>30000-21220.874</f>
        <v>8779.1260000000002</v>
      </c>
      <c r="O48" s="547">
        <f>50000+21220.874-63875.04879</f>
        <v>7345.8252099999954</v>
      </c>
      <c r="P48" s="1174">
        <f>14000-9333.04524</f>
        <v>4666.9547600000005</v>
      </c>
      <c r="Q48" s="1175">
        <f>14875+0.0161+9333.04524</f>
        <v>24208.06134</v>
      </c>
      <c r="R48" s="1468">
        <v>154355.96731000001</v>
      </c>
      <c r="S48" s="1469">
        <v>-109356</v>
      </c>
      <c r="T48" s="1468">
        <f t="shared" ref="T48:T111" si="10">R48+S48</f>
        <v>44999.967310000007</v>
      </c>
      <c r="U48" s="1176">
        <v>30000</v>
      </c>
      <c r="V48" s="1073">
        <v>30000</v>
      </c>
      <c r="W48" s="1073">
        <v>30000</v>
      </c>
      <c r="X48" s="814">
        <v>30000</v>
      </c>
      <c r="Y48" s="549">
        <v>120000</v>
      </c>
      <c r="Z48" s="1094">
        <v>173161</v>
      </c>
      <c r="AA48" s="548">
        <v>0</v>
      </c>
      <c r="AB48" s="1073">
        <v>0</v>
      </c>
      <c r="AC48" s="814">
        <v>0</v>
      </c>
      <c r="AD48" s="1737">
        <v>0</v>
      </c>
      <c r="AE48" s="735" t="s">
        <v>1315</v>
      </c>
      <c r="AF48" s="550" t="s">
        <v>43</v>
      </c>
      <c r="AG48" s="1081" t="s">
        <v>511</v>
      </c>
      <c r="AH48" s="1081" t="s">
        <v>511</v>
      </c>
      <c r="AI48" s="1039" t="s">
        <v>514</v>
      </c>
      <c r="AJ48" s="391">
        <v>15708.01879</v>
      </c>
    </row>
    <row r="49" spans="1:35" s="391" customFormat="1" ht="45" x14ac:dyDescent="0.25">
      <c r="A49" s="1177" t="s">
        <v>57</v>
      </c>
      <c r="B49" s="1178" t="s">
        <v>58</v>
      </c>
      <c r="C49" s="454">
        <v>2006</v>
      </c>
      <c r="D49" s="454" t="s">
        <v>631</v>
      </c>
      <c r="E49" s="454" t="s">
        <v>11</v>
      </c>
      <c r="F49" s="1179" t="s">
        <v>11</v>
      </c>
      <c r="G49" s="1225" t="s">
        <v>59</v>
      </c>
      <c r="H49" s="551">
        <f>393116.17+102000+10000</f>
        <v>505116.17</v>
      </c>
      <c r="I49" s="551">
        <v>336343.93263</v>
      </c>
      <c r="J49" s="552">
        <v>11940.025820000001</v>
      </c>
      <c r="K49" s="1901">
        <v>5349.7571100000005</v>
      </c>
      <c r="L49" s="1539">
        <v>1594.5488</v>
      </c>
      <c r="M49" s="1539">
        <v>3195.9124999999999</v>
      </c>
      <c r="N49" s="919">
        <f>20000-13683.2379</f>
        <v>6316.7620999999999</v>
      </c>
      <c r="O49" s="547">
        <f>20000+13683.2379-28059.97418</f>
        <v>5623.263719999999</v>
      </c>
      <c r="P49" s="1090">
        <f>20000-9732+14019.97418-18938.21707</f>
        <v>5349.7571099999986</v>
      </c>
      <c r="Q49" s="814">
        <f>13772.23737+18938.21707</f>
        <v>32710.454440000001</v>
      </c>
      <c r="R49" s="1449">
        <v>64040.237370000017</v>
      </c>
      <c r="S49" s="1450">
        <v>-14040</v>
      </c>
      <c r="T49" s="1449">
        <f t="shared" si="10"/>
        <v>50000.237370000017</v>
      </c>
      <c r="U49" s="1091">
        <v>15000</v>
      </c>
      <c r="V49" s="1090">
        <v>20000</v>
      </c>
      <c r="W49" s="1090">
        <v>20000</v>
      </c>
      <c r="X49" s="1089">
        <v>20000</v>
      </c>
      <c r="Y49" s="1094">
        <v>75000</v>
      </c>
      <c r="Z49" s="1094">
        <v>43772</v>
      </c>
      <c r="AA49" s="554">
        <v>0</v>
      </c>
      <c r="AB49" s="1090">
        <v>0</v>
      </c>
      <c r="AC49" s="1089">
        <v>0</v>
      </c>
      <c r="AD49" s="2068">
        <v>0</v>
      </c>
      <c r="AE49" s="1540" t="s">
        <v>1316</v>
      </c>
      <c r="AF49" s="454" t="s">
        <v>43</v>
      </c>
      <c r="AG49" s="996" t="s">
        <v>511</v>
      </c>
      <c r="AH49" s="996" t="s">
        <v>511</v>
      </c>
      <c r="AI49" s="910" t="s">
        <v>514</v>
      </c>
    </row>
    <row r="50" spans="1:35" ht="38.25" x14ac:dyDescent="0.25">
      <c r="A50" s="433" t="s">
        <v>60</v>
      </c>
      <c r="B50" s="561" t="s">
        <v>61</v>
      </c>
      <c r="C50" s="382">
        <v>2017</v>
      </c>
      <c r="D50" s="382" t="s">
        <v>512</v>
      </c>
      <c r="E50" s="382" t="s">
        <v>56</v>
      </c>
      <c r="F50" s="435" t="s">
        <v>11</v>
      </c>
      <c r="G50" s="1232" t="s">
        <v>483</v>
      </c>
      <c r="H50" s="383">
        <v>11895</v>
      </c>
      <c r="I50" s="383">
        <v>5903.2</v>
      </c>
      <c r="J50" s="464">
        <v>0</v>
      </c>
      <c r="K50" s="412">
        <v>0</v>
      </c>
      <c r="L50" s="1615">
        <v>0</v>
      </c>
      <c r="M50" s="1615">
        <v>0</v>
      </c>
      <c r="N50" s="713">
        <v>0</v>
      </c>
      <c r="O50" s="1117">
        <v>0</v>
      </c>
      <c r="P50" s="533">
        <v>0</v>
      </c>
      <c r="Q50" s="533">
        <f>5992-0.2</f>
        <v>5991.8</v>
      </c>
      <c r="R50" s="1543">
        <v>5991.8</v>
      </c>
      <c r="S50" s="737">
        <v>0</v>
      </c>
      <c r="T50" s="1543">
        <f t="shared" si="10"/>
        <v>5991.8</v>
      </c>
      <c r="U50" s="441">
        <v>0</v>
      </c>
      <c r="V50" s="564">
        <v>0</v>
      </c>
      <c r="W50" s="564">
        <v>0</v>
      </c>
      <c r="X50" s="1117">
        <v>0</v>
      </c>
      <c r="Y50" s="440">
        <v>0</v>
      </c>
      <c r="Z50" s="440">
        <v>0</v>
      </c>
      <c r="AA50" s="563">
        <v>0</v>
      </c>
      <c r="AB50" s="564">
        <v>0</v>
      </c>
      <c r="AC50" s="1117">
        <v>0</v>
      </c>
      <c r="AD50" s="2069">
        <v>0</v>
      </c>
      <c r="AE50" s="478" t="s">
        <v>1317</v>
      </c>
      <c r="AF50" s="382" t="s">
        <v>535</v>
      </c>
      <c r="AG50" s="566" t="s">
        <v>540</v>
      </c>
      <c r="AH50" s="566" t="s">
        <v>513</v>
      </c>
      <c r="AI50" s="565" t="s">
        <v>513</v>
      </c>
    </row>
    <row r="51" spans="1:35" s="405" customFormat="1" ht="25.5" x14ac:dyDescent="0.25">
      <c r="A51" s="1112" t="s">
        <v>63</v>
      </c>
      <c r="B51" s="1113" t="s">
        <v>64</v>
      </c>
      <c r="C51" s="298">
        <v>2017</v>
      </c>
      <c r="D51" s="298" t="s">
        <v>630</v>
      </c>
      <c r="E51" s="298" t="s">
        <v>65</v>
      </c>
      <c r="F51" s="1055" t="s">
        <v>65</v>
      </c>
      <c r="G51" s="1226" t="s">
        <v>66</v>
      </c>
      <c r="H51" s="300">
        <f>3829-0.28</f>
        <v>3828.72</v>
      </c>
      <c r="I51" s="300">
        <v>2738.5156000000002</v>
      </c>
      <c r="J51" s="299">
        <v>109.67440000000001</v>
      </c>
      <c r="K51" s="1916">
        <v>0</v>
      </c>
      <c r="L51" s="1545">
        <v>0</v>
      </c>
      <c r="M51" s="1545">
        <v>0</v>
      </c>
      <c r="N51" s="927">
        <v>0</v>
      </c>
      <c r="O51" s="528">
        <v>110</v>
      </c>
      <c r="P51" s="1064">
        <v>0</v>
      </c>
      <c r="Q51" s="1064">
        <v>120.20440000000001</v>
      </c>
      <c r="R51" s="1546">
        <v>230.20440000000002</v>
      </c>
      <c r="S51" s="1547">
        <v>0</v>
      </c>
      <c r="T51" s="1546">
        <f t="shared" si="10"/>
        <v>230.20440000000002</v>
      </c>
      <c r="U51" s="1115">
        <v>0</v>
      </c>
      <c r="V51" s="1064">
        <v>200</v>
      </c>
      <c r="W51" s="1064">
        <v>200</v>
      </c>
      <c r="X51" s="1114">
        <v>0</v>
      </c>
      <c r="Y51" s="1116">
        <v>400</v>
      </c>
      <c r="Z51" s="1116">
        <v>460</v>
      </c>
      <c r="AA51" s="1548">
        <v>0</v>
      </c>
      <c r="AB51" s="1064">
        <v>0</v>
      </c>
      <c r="AC51" s="1114">
        <v>0</v>
      </c>
      <c r="AD51" s="2070">
        <v>0</v>
      </c>
      <c r="AE51" s="415" t="s">
        <v>1318</v>
      </c>
      <c r="AF51" s="298" t="s">
        <v>43</v>
      </c>
      <c r="AG51" s="991" t="s">
        <v>1319</v>
      </c>
      <c r="AH51" s="991" t="s">
        <v>514</v>
      </c>
      <c r="AI51" s="928" t="s">
        <v>514</v>
      </c>
    </row>
    <row r="52" spans="1:35" s="391" customFormat="1" ht="25.5" x14ac:dyDescent="0.25">
      <c r="A52" s="743" t="s">
        <v>67</v>
      </c>
      <c r="B52" s="744" t="s">
        <v>68</v>
      </c>
      <c r="C52" s="5">
        <v>2017</v>
      </c>
      <c r="D52" s="5" t="s">
        <v>630</v>
      </c>
      <c r="E52" s="5" t="s">
        <v>65</v>
      </c>
      <c r="F52" s="80" t="s">
        <v>65</v>
      </c>
      <c r="G52" s="763" t="s">
        <v>69</v>
      </c>
      <c r="H52" s="16">
        <v>3300</v>
      </c>
      <c r="I52" s="16">
        <v>1443.6589900000001</v>
      </c>
      <c r="J52" s="24">
        <v>1338.5840000000001</v>
      </c>
      <c r="K52" s="412">
        <v>0</v>
      </c>
      <c r="L52" s="1252">
        <v>0</v>
      </c>
      <c r="M52" s="1252">
        <v>0</v>
      </c>
      <c r="N52" s="850">
        <v>0</v>
      </c>
      <c r="O52" s="29">
        <f>1356.34101-17.75701</f>
        <v>1338.5840000000001</v>
      </c>
      <c r="P52" s="496">
        <v>0</v>
      </c>
      <c r="Q52" s="496">
        <f>500+17.75701</f>
        <v>517.75701000000004</v>
      </c>
      <c r="R52" s="1268">
        <v>1856.3410100000001</v>
      </c>
      <c r="S52" s="1269">
        <v>0</v>
      </c>
      <c r="T52" s="1268">
        <f t="shared" si="10"/>
        <v>1856.3410100000001</v>
      </c>
      <c r="U52" s="851">
        <v>0</v>
      </c>
      <c r="V52" s="496">
        <v>0</v>
      </c>
      <c r="W52" s="496">
        <v>0</v>
      </c>
      <c r="X52" s="28">
        <v>0</v>
      </c>
      <c r="Y52" s="26">
        <v>0</v>
      </c>
      <c r="Z52" s="26">
        <v>0</v>
      </c>
      <c r="AA52" s="30">
        <v>0</v>
      </c>
      <c r="AB52" s="496">
        <v>0</v>
      </c>
      <c r="AC52" s="28">
        <v>0</v>
      </c>
      <c r="AD52" s="2071">
        <v>0</v>
      </c>
      <c r="AE52" s="71" t="s">
        <v>484</v>
      </c>
      <c r="AF52" s="5" t="s">
        <v>1171</v>
      </c>
      <c r="AG52" s="193" t="s">
        <v>732</v>
      </c>
      <c r="AH52" s="193" t="s">
        <v>514</v>
      </c>
      <c r="AI52" s="104" t="s">
        <v>513</v>
      </c>
    </row>
    <row r="53" spans="1:35" s="375" customFormat="1" ht="30" x14ac:dyDescent="0.25">
      <c r="A53" s="70" t="s">
        <v>70</v>
      </c>
      <c r="B53" s="93" t="s">
        <v>487</v>
      </c>
      <c r="C53" s="5">
        <v>2017</v>
      </c>
      <c r="D53" s="4" t="s">
        <v>515</v>
      </c>
      <c r="E53" s="5" t="s">
        <v>62</v>
      </c>
      <c r="F53" s="63" t="s">
        <v>62</v>
      </c>
      <c r="G53" s="763" t="s">
        <v>71</v>
      </c>
      <c r="H53" s="1">
        <v>6636</v>
      </c>
      <c r="I53" s="16">
        <v>6070.853149999999</v>
      </c>
      <c r="J53" s="24">
        <v>0</v>
      </c>
      <c r="K53" s="412">
        <v>0</v>
      </c>
      <c r="L53" s="1252">
        <v>0</v>
      </c>
      <c r="M53" s="1252">
        <v>0</v>
      </c>
      <c r="N53" s="850">
        <v>0</v>
      </c>
      <c r="O53" s="155">
        <v>0</v>
      </c>
      <c r="P53" s="496">
        <v>0</v>
      </c>
      <c r="Q53" s="496">
        <v>565.14684999999997</v>
      </c>
      <c r="R53" s="1268">
        <v>565.14685000000009</v>
      </c>
      <c r="S53" s="1269">
        <v>0</v>
      </c>
      <c r="T53" s="1268">
        <f t="shared" si="10"/>
        <v>565.14685000000009</v>
      </c>
      <c r="U53" s="851">
        <v>0</v>
      </c>
      <c r="V53" s="496">
        <v>0</v>
      </c>
      <c r="W53" s="496">
        <v>0</v>
      </c>
      <c r="X53" s="28">
        <v>0</v>
      </c>
      <c r="Y53" s="26">
        <v>0</v>
      </c>
      <c r="Z53" s="26">
        <v>0</v>
      </c>
      <c r="AA53" s="30">
        <v>0</v>
      </c>
      <c r="AB53" s="496">
        <v>0</v>
      </c>
      <c r="AC53" s="28">
        <v>0</v>
      </c>
      <c r="AD53" s="2071">
        <v>0</v>
      </c>
      <c r="AE53" s="71" t="s">
        <v>484</v>
      </c>
      <c r="AF53" s="5" t="s">
        <v>1171</v>
      </c>
      <c r="AG53" s="193" t="s">
        <v>732</v>
      </c>
      <c r="AH53" s="193" t="s">
        <v>514</v>
      </c>
      <c r="AI53" s="104" t="s">
        <v>514</v>
      </c>
    </row>
    <row r="54" spans="1:35" s="375" customFormat="1" ht="25.5" x14ac:dyDescent="0.25">
      <c r="A54" s="741" t="s">
        <v>72</v>
      </c>
      <c r="B54" s="742" t="s">
        <v>73</v>
      </c>
      <c r="C54" s="68">
        <v>2017</v>
      </c>
      <c r="D54" s="68" t="s">
        <v>629</v>
      </c>
      <c r="E54" s="66" t="s">
        <v>11</v>
      </c>
      <c r="F54" s="69" t="s">
        <v>11</v>
      </c>
      <c r="G54" s="165" t="s">
        <v>74</v>
      </c>
      <c r="H54" s="36">
        <f>998.25+99</f>
        <v>1097.25</v>
      </c>
      <c r="I54" s="317">
        <v>998.25</v>
      </c>
      <c r="J54" s="24">
        <v>0</v>
      </c>
      <c r="K54" s="412">
        <v>0</v>
      </c>
      <c r="L54" s="1252">
        <v>0</v>
      </c>
      <c r="M54" s="1252">
        <v>0</v>
      </c>
      <c r="N54" s="269">
        <v>0</v>
      </c>
      <c r="O54" s="206">
        <v>0</v>
      </c>
      <c r="P54" s="207">
        <v>0</v>
      </c>
      <c r="Q54" s="207">
        <v>99</v>
      </c>
      <c r="R54" s="1550">
        <v>99</v>
      </c>
      <c r="S54" s="494">
        <v>0</v>
      </c>
      <c r="T54" s="1550">
        <f t="shared" si="10"/>
        <v>99</v>
      </c>
      <c r="U54" s="1124">
        <v>0</v>
      </c>
      <c r="V54" s="497">
        <v>0</v>
      </c>
      <c r="W54" s="497">
        <v>0</v>
      </c>
      <c r="X54" s="77">
        <v>0</v>
      </c>
      <c r="Y54" s="20">
        <v>0</v>
      </c>
      <c r="Z54" s="20">
        <v>0</v>
      </c>
      <c r="AA54" s="37">
        <v>0</v>
      </c>
      <c r="AB54" s="497">
        <v>0</v>
      </c>
      <c r="AC54" s="77">
        <v>0</v>
      </c>
      <c r="AD54" s="208">
        <v>0</v>
      </c>
      <c r="AE54" s="235" t="s">
        <v>484</v>
      </c>
      <c r="AF54" s="66" t="s">
        <v>43</v>
      </c>
      <c r="AG54" s="318" t="s">
        <v>732</v>
      </c>
      <c r="AH54" s="210" t="s">
        <v>514</v>
      </c>
      <c r="AI54" s="65" t="s">
        <v>514</v>
      </c>
    </row>
    <row r="55" spans="1:35" s="387" customFormat="1" ht="25.5" x14ac:dyDescent="0.25">
      <c r="A55" s="1087" t="s">
        <v>75</v>
      </c>
      <c r="B55" s="1180" t="s">
        <v>76</v>
      </c>
      <c r="C55" s="454">
        <v>2017</v>
      </c>
      <c r="D55" s="454" t="s">
        <v>618</v>
      </c>
      <c r="E55" s="576" t="s">
        <v>11</v>
      </c>
      <c r="F55" s="576" t="s">
        <v>11</v>
      </c>
      <c r="G55" s="915" t="s">
        <v>77</v>
      </c>
      <c r="H55" s="551">
        <f>3062.72+1000</f>
        <v>4062.72</v>
      </c>
      <c r="I55" s="543">
        <v>0</v>
      </c>
      <c r="J55" s="552">
        <v>0</v>
      </c>
      <c r="K55" s="1901">
        <v>0</v>
      </c>
      <c r="L55" s="1539">
        <v>0</v>
      </c>
      <c r="M55" s="1539">
        <v>0</v>
      </c>
      <c r="N55" s="919">
        <f>1000-1000</f>
        <v>0</v>
      </c>
      <c r="O55" s="1096">
        <v>0</v>
      </c>
      <c r="P55" s="920">
        <v>0</v>
      </c>
      <c r="Q55" s="1089">
        <f>300-0.28</f>
        <v>299.72000000000003</v>
      </c>
      <c r="R55" s="1449">
        <v>4062.7200000000003</v>
      </c>
      <c r="S55" s="1450">
        <v>-3763</v>
      </c>
      <c r="T55" s="1449">
        <f t="shared" si="10"/>
        <v>299.72000000000025</v>
      </c>
      <c r="U55" s="1091">
        <v>500</v>
      </c>
      <c r="V55" s="1090">
        <v>500</v>
      </c>
      <c r="W55" s="1090">
        <v>500</v>
      </c>
      <c r="X55" s="1089">
        <v>2263</v>
      </c>
      <c r="Y55" s="1094">
        <v>3763</v>
      </c>
      <c r="Z55" s="1094">
        <v>0</v>
      </c>
      <c r="AA55" s="554">
        <v>0</v>
      </c>
      <c r="AB55" s="1090">
        <v>0</v>
      </c>
      <c r="AC55" s="1089">
        <v>0</v>
      </c>
      <c r="AD55" s="1468">
        <v>0</v>
      </c>
      <c r="AE55" s="1540" t="s">
        <v>1320</v>
      </c>
      <c r="AF55" s="454" t="s">
        <v>43</v>
      </c>
      <c r="AG55" s="996" t="s">
        <v>491</v>
      </c>
      <c r="AH55" s="996" t="s">
        <v>511</v>
      </c>
      <c r="AI55" s="555" t="s">
        <v>514</v>
      </c>
    </row>
    <row r="56" spans="1:35" ht="30" x14ac:dyDescent="0.25">
      <c r="A56" s="743" t="s">
        <v>79</v>
      </c>
      <c r="B56" s="744" t="s">
        <v>488</v>
      </c>
      <c r="C56" s="81">
        <v>2018</v>
      </c>
      <c r="D56" s="81" t="s">
        <v>78</v>
      </c>
      <c r="E56" s="80" t="s">
        <v>62</v>
      </c>
      <c r="F56" s="80" t="s">
        <v>62</v>
      </c>
      <c r="G56" s="449" t="s">
        <v>80</v>
      </c>
      <c r="H56" s="24">
        <v>20040</v>
      </c>
      <c r="I56" s="24">
        <v>17166.743499999997</v>
      </c>
      <c r="J56" s="24">
        <v>0</v>
      </c>
      <c r="K56" s="412">
        <v>0</v>
      </c>
      <c r="L56" s="1252">
        <v>2452.14896</v>
      </c>
      <c r="M56" s="1252">
        <v>0</v>
      </c>
      <c r="N56" s="850">
        <v>0</v>
      </c>
      <c r="O56" s="155">
        <v>0</v>
      </c>
      <c r="P56" s="201">
        <v>0</v>
      </c>
      <c r="Q56" s="201">
        <v>2873.2565</v>
      </c>
      <c r="R56" s="1268">
        <v>2873.2565</v>
      </c>
      <c r="S56" s="1269">
        <v>0</v>
      </c>
      <c r="T56" s="1268">
        <f t="shared" si="10"/>
        <v>2873.2565</v>
      </c>
      <c r="U56" s="851">
        <v>0</v>
      </c>
      <c r="V56" s="496">
        <v>0</v>
      </c>
      <c r="W56" s="496">
        <v>0</v>
      </c>
      <c r="X56" s="28">
        <v>0</v>
      </c>
      <c r="Y56" s="26">
        <v>0</v>
      </c>
      <c r="Z56" s="26">
        <v>0</v>
      </c>
      <c r="AA56" s="30">
        <v>0</v>
      </c>
      <c r="AB56" s="496">
        <v>0</v>
      </c>
      <c r="AC56" s="28">
        <v>0</v>
      </c>
      <c r="AD56" s="2072">
        <v>0</v>
      </c>
      <c r="AE56" s="1551" t="s">
        <v>484</v>
      </c>
      <c r="AF56" s="5" t="s">
        <v>1171</v>
      </c>
      <c r="AG56" s="193" t="s">
        <v>208</v>
      </c>
      <c r="AH56" s="193" t="s">
        <v>514</v>
      </c>
      <c r="AI56" s="104" t="s">
        <v>514</v>
      </c>
    </row>
    <row r="57" spans="1:35" ht="25.5" x14ac:dyDescent="0.25">
      <c r="A57" s="743" t="s">
        <v>81</v>
      </c>
      <c r="B57" s="744" t="s">
        <v>489</v>
      </c>
      <c r="C57" s="81">
        <v>2018</v>
      </c>
      <c r="D57" s="81" t="s">
        <v>78</v>
      </c>
      <c r="E57" s="80" t="s">
        <v>62</v>
      </c>
      <c r="F57" s="80" t="s">
        <v>62</v>
      </c>
      <c r="G57" s="449" t="s">
        <v>82</v>
      </c>
      <c r="H57" s="24">
        <f>15152.24492+7.75508</f>
        <v>15160</v>
      </c>
      <c r="I57" s="16">
        <v>15152.244920000001</v>
      </c>
      <c r="J57" s="24">
        <v>0</v>
      </c>
      <c r="K57" s="412">
        <v>0</v>
      </c>
      <c r="L57" s="1252">
        <v>0</v>
      </c>
      <c r="M57" s="1252">
        <v>0</v>
      </c>
      <c r="N57" s="850">
        <v>0</v>
      </c>
      <c r="O57" s="155">
        <v>0</v>
      </c>
      <c r="P57" s="201">
        <v>0</v>
      </c>
      <c r="Q57" s="201">
        <v>7.7550800000000004</v>
      </c>
      <c r="R57" s="1268">
        <v>7.7550800000000004</v>
      </c>
      <c r="S57" s="1269">
        <v>0</v>
      </c>
      <c r="T57" s="1268">
        <f t="shared" si="10"/>
        <v>7.7550800000000004</v>
      </c>
      <c r="U57" s="851">
        <v>0</v>
      </c>
      <c r="V57" s="496">
        <v>0</v>
      </c>
      <c r="W57" s="496">
        <v>0</v>
      </c>
      <c r="X57" s="28">
        <v>0</v>
      </c>
      <c r="Y57" s="26">
        <v>0</v>
      </c>
      <c r="Z57" s="26">
        <v>0</v>
      </c>
      <c r="AA57" s="30">
        <v>0</v>
      </c>
      <c r="AB57" s="496">
        <v>0</v>
      </c>
      <c r="AC57" s="28">
        <v>0</v>
      </c>
      <c r="AD57" s="2073">
        <v>0</v>
      </c>
      <c r="AE57" s="71" t="s">
        <v>484</v>
      </c>
      <c r="AF57" s="5" t="s">
        <v>1171</v>
      </c>
      <c r="AG57" s="193" t="s">
        <v>732</v>
      </c>
      <c r="AH57" s="193" t="s">
        <v>514</v>
      </c>
      <c r="AI57" s="104" t="s">
        <v>514</v>
      </c>
    </row>
    <row r="58" spans="1:35" s="419" customFormat="1" ht="25.5" x14ac:dyDescent="0.25">
      <c r="A58" s="1184" t="s">
        <v>83</v>
      </c>
      <c r="B58" s="1185" t="s">
        <v>876</v>
      </c>
      <c r="C58" s="454">
        <v>2018</v>
      </c>
      <c r="D58" s="454" t="s">
        <v>78</v>
      </c>
      <c r="E58" s="576" t="s">
        <v>62</v>
      </c>
      <c r="F58" s="576" t="s">
        <v>62</v>
      </c>
      <c r="G58" s="915" t="s">
        <v>84</v>
      </c>
      <c r="H58" s="551">
        <f>3657.56453+50</f>
        <v>3707.5645300000001</v>
      </c>
      <c r="I58" s="551">
        <v>3657.5645300000001</v>
      </c>
      <c r="J58" s="551">
        <v>0</v>
      </c>
      <c r="K58" s="1901">
        <v>0</v>
      </c>
      <c r="L58" s="1553">
        <v>0</v>
      </c>
      <c r="M58" s="1553">
        <v>0</v>
      </c>
      <c r="N58" s="919">
        <v>0</v>
      </c>
      <c r="O58" s="1096">
        <v>0</v>
      </c>
      <c r="P58" s="920">
        <v>0</v>
      </c>
      <c r="Q58" s="920">
        <v>0</v>
      </c>
      <c r="R58" s="1449">
        <v>50</v>
      </c>
      <c r="S58" s="1450">
        <v>-50</v>
      </c>
      <c r="T58" s="1449">
        <f t="shared" si="10"/>
        <v>0</v>
      </c>
      <c r="U58" s="919">
        <v>0</v>
      </c>
      <c r="V58" s="920">
        <v>50</v>
      </c>
      <c r="W58" s="920">
        <v>0</v>
      </c>
      <c r="X58" s="547">
        <v>0</v>
      </c>
      <c r="Y58" s="578">
        <v>50</v>
      </c>
      <c r="Z58" s="578">
        <v>0</v>
      </c>
      <c r="AA58" s="556">
        <v>0</v>
      </c>
      <c r="AB58" s="920">
        <v>0</v>
      </c>
      <c r="AC58" s="547">
        <v>0</v>
      </c>
      <c r="AD58" s="1468">
        <v>0</v>
      </c>
      <c r="AE58" s="1540" t="s">
        <v>1321</v>
      </c>
      <c r="AF58" s="454" t="s">
        <v>43</v>
      </c>
      <c r="AG58" s="1131" t="s">
        <v>1008</v>
      </c>
      <c r="AH58" s="996" t="s">
        <v>514</v>
      </c>
      <c r="AI58" s="555" t="s">
        <v>514</v>
      </c>
    </row>
    <row r="59" spans="1:35" ht="30" x14ac:dyDescent="0.25">
      <c r="A59" s="743" t="s">
        <v>85</v>
      </c>
      <c r="B59" s="744" t="s">
        <v>478</v>
      </c>
      <c r="C59" s="81">
        <v>2018</v>
      </c>
      <c r="D59" s="81" t="s">
        <v>78</v>
      </c>
      <c r="E59" s="80" t="s">
        <v>62</v>
      </c>
      <c r="F59" s="80" t="s">
        <v>62</v>
      </c>
      <c r="G59" s="449" t="s">
        <v>86</v>
      </c>
      <c r="H59" s="24">
        <f>1797-29.65</f>
        <v>1767.35</v>
      </c>
      <c r="I59" s="24">
        <v>1765.3261500000001</v>
      </c>
      <c r="J59" s="24">
        <v>0</v>
      </c>
      <c r="K59" s="412">
        <v>0</v>
      </c>
      <c r="L59" s="1252">
        <v>0</v>
      </c>
      <c r="M59" s="1252">
        <v>0</v>
      </c>
      <c r="N59" s="850">
        <v>0</v>
      </c>
      <c r="O59" s="29">
        <v>0</v>
      </c>
      <c r="P59" s="201">
        <v>0</v>
      </c>
      <c r="Q59" s="201">
        <f>2+0.02385</f>
        <v>2.0238499999999999</v>
      </c>
      <c r="R59" s="1268">
        <v>2.0238500000004933</v>
      </c>
      <c r="S59" s="1269">
        <v>0</v>
      </c>
      <c r="T59" s="1268">
        <f t="shared" si="10"/>
        <v>2.0238500000004933</v>
      </c>
      <c r="U59" s="851">
        <v>0</v>
      </c>
      <c r="V59" s="496">
        <v>0</v>
      </c>
      <c r="W59" s="496">
        <v>0</v>
      </c>
      <c r="X59" s="28">
        <v>0</v>
      </c>
      <c r="Y59" s="26">
        <v>0</v>
      </c>
      <c r="Z59" s="26">
        <v>0</v>
      </c>
      <c r="AA59" s="30">
        <v>0</v>
      </c>
      <c r="AB59" s="496">
        <v>0</v>
      </c>
      <c r="AC59" s="28">
        <v>0</v>
      </c>
      <c r="AD59" s="2071">
        <v>0</v>
      </c>
      <c r="AE59" s="71" t="s">
        <v>484</v>
      </c>
      <c r="AF59" s="5" t="s">
        <v>1171</v>
      </c>
      <c r="AG59" s="193" t="s">
        <v>732</v>
      </c>
      <c r="AH59" s="193" t="s">
        <v>514</v>
      </c>
      <c r="AI59" s="104" t="s">
        <v>514</v>
      </c>
    </row>
    <row r="60" spans="1:35" s="391" customFormat="1" ht="30" x14ac:dyDescent="0.25">
      <c r="A60" s="741" t="s">
        <v>87</v>
      </c>
      <c r="B60" s="742" t="s">
        <v>479</v>
      </c>
      <c r="C60" s="68">
        <v>2018</v>
      </c>
      <c r="D60" s="68" t="s">
        <v>78</v>
      </c>
      <c r="E60" s="69" t="s">
        <v>62</v>
      </c>
      <c r="F60" s="69" t="s">
        <v>62</v>
      </c>
      <c r="G60" s="145" t="s">
        <v>88</v>
      </c>
      <c r="H60" s="36">
        <v>7693.16</v>
      </c>
      <c r="I60" s="36">
        <v>7434.9926800000003</v>
      </c>
      <c r="J60" s="36">
        <v>258.41500000000002</v>
      </c>
      <c r="K60" s="412">
        <v>0</v>
      </c>
      <c r="L60" s="1256">
        <v>0</v>
      </c>
      <c r="M60" s="1256">
        <v>0</v>
      </c>
      <c r="N60" s="269">
        <f>259+34.77244-34.60512-0.75232-0.24768</f>
        <v>258.16732000000002</v>
      </c>
      <c r="O60" s="38">
        <v>0</v>
      </c>
      <c r="P60" s="497">
        <v>0</v>
      </c>
      <c r="Q60" s="77">
        <v>0</v>
      </c>
      <c r="R60" s="1550">
        <v>258.16732000000002</v>
      </c>
      <c r="S60" s="494">
        <v>0</v>
      </c>
      <c r="T60" s="1550">
        <f t="shared" si="10"/>
        <v>258.16732000000002</v>
      </c>
      <c r="U60" s="1124">
        <v>0</v>
      </c>
      <c r="V60" s="497">
        <v>0</v>
      </c>
      <c r="W60" s="497">
        <v>0</v>
      </c>
      <c r="X60" s="77">
        <v>0</v>
      </c>
      <c r="Y60" s="20">
        <v>0</v>
      </c>
      <c r="Z60" s="20">
        <v>0</v>
      </c>
      <c r="AA60" s="37">
        <v>0</v>
      </c>
      <c r="AB60" s="497">
        <v>0</v>
      </c>
      <c r="AC60" s="77">
        <v>0</v>
      </c>
      <c r="AD60" s="208">
        <v>0</v>
      </c>
      <c r="AE60" s="235" t="s">
        <v>484</v>
      </c>
      <c r="AF60" s="66" t="s">
        <v>535</v>
      </c>
      <c r="AG60" s="210" t="s">
        <v>608</v>
      </c>
      <c r="AH60" s="210" t="s">
        <v>514</v>
      </c>
      <c r="AI60" s="65" t="s">
        <v>514</v>
      </c>
    </row>
    <row r="61" spans="1:35" ht="30" x14ac:dyDescent="0.25">
      <c r="A61" s="70" t="s">
        <v>89</v>
      </c>
      <c r="B61" s="93" t="s">
        <v>494</v>
      </c>
      <c r="C61" s="81">
        <v>2018</v>
      </c>
      <c r="D61" s="81" t="s">
        <v>78</v>
      </c>
      <c r="E61" s="80" t="s">
        <v>62</v>
      </c>
      <c r="F61" s="80" t="s">
        <v>62</v>
      </c>
      <c r="G61" s="417" t="s">
        <v>90</v>
      </c>
      <c r="H61" s="24">
        <v>13323</v>
      </c>
      <c r="I61" s="24">
        <v>0</v>
      </c>
      <c r="J61" s="24">
        <v>0</v>
      </c>
      <c r="K61" s="412">
        <v>0</v>
      </c>
      <c r="L61" s="1252">
        <v>0</v>
      </c>
      <c r="M61" s="1252">
        <v>0</v>
      </c>
      <c r="N61" s="850">
        <v>0</v>
      </c>
      <c r="O61" s="29">
        <v>0</v>
      </c>
      <c r="P61" s="496">
        <v>0</v>
      </c>
      <c r="Q61" s="28">
        <v>0</v>
      </c>
      <c r="R61" s="1268">
        <v>0</v>
      </c>
      <c r="S61" s="1269">
        <v>0</v>
      </c>
      <c r="T61" s="1268">
        <f t="shared" si="10"/>
        <v>0</v>
      </c>
      <c r="U61" s="851">
        <v>0</v>
      </c>
      <c r="V61" s="496">
        <v>0</v>
      </c>
      <c r="W61" s="496">
        <v>0</v>
      </c>
      <c r="X61" s="28">
        <v>0</v>
      </c>
      <c r="Y61" s="26">
        <v>0</v>
      </c>
      <c r="Z61" s="26">
        <v>13323</v>
      </c>
      <c r="AA61" s="30">
        <v>0</v>
      </c>
      <c r="AB61" s="496">
        <v>0</v>
      </c>
      <c r="AC61" s="28">
        <v>0</v>
      </c>
      <c r="AD61" s="1231">
        <v>0</v>
      </c>
      <c r="AE61" s="205" t="s">
        <v>484</v>
      </c>
      <c r="AF61" s="5" t="s">
        <v>43</v>
      </c>
      <c r="AG61" s="193" t="s">
        <v>965</v>
      </c>
      <c r="AH61" s="193" t="s">
        <v>514</v>
      </c>
      <c r="AI61" s="104" t="s">
        <v>513</v>
      </c>
    </row>
    <row r="62" spans="1:35" ht="30" x14ac:dyDescent="0.25">
      <c r="A62" s="743" t="s">
        <v>91</v>
      </c>
      <c r="B62" s="744" t="s">
        <v>874</v>
      </c>
      <c r="C62" s="81">
        <v>2018</v>
      </c>
      <c r="D62" s="81" t="s">
        <v>78</v>
      </c>
      <c r="E62" s="80" t="s">
        <v>62</v>
      </c>
      <c r="F62" s="80" t="s">
        <v>62</v>
      </c>
      <c r="G62" s="417" t="s">
        <v>92</v>
      </c>
      <c r="H62" s="24">
        <v>3124.5</v>
      </c>
      <c r="I62" s="24">
        <v>2834.4879999999998</v>
      </c>
      <c r="J62" s="24">
        <v>0</v>
      </c>
      <c r="K62" s="412">
        <v>0</v>
      </c>
      <c r="L62" s="1252">
        <v>0</v>
      </c>
      <c r="M62" s="1252">
        <v>0</v>
      </c>
      <c r="N62" s="850">
        <v>0</v>
      </c>
      <c r="O62" s="155">
        <v>0</v>
      </c>
      <c r="P62" s="155">
        <v>0</v>
      </c>
      <c r="Q62" s="155">
        <v>290.012</v>
      </c>
      <c r="R62" s="1268">
        <v>290.01200000000017</v>
      </c>
      <c r="S62" s="1269">
        <v>0</v>
      </c>
      <c r="T62" s="1268">
        <f t="shared" si="10"/>
        <v>290.01200000000017</v>
      </c>
      <c r="U62" s="851">
        <v>0</v>
      </c>
      <c r="V62" s="496">
        <v>0</v>
      </c>
      <c r="W62" s="496">
        <v>0</v>
      </c>
      <c r="X62" s="28">
        <v>0</v>
      </c>
      <c r="Y62" s="26">
        <v>0</v>
      </c>
      <c r="Z62" s="26">
        <v>0</v>
      </c>
      <c r="AA62" s="30">
        <v>0</v>
      </c>
      <c r="AB62" s="496">
        <v>0</v>
      </c>
      <c r="AC62" s="28">
        <v>0</v>
      </c>
      <c r="AD62" s="2072">
        <v>0</v>
      </c>
      <c r="AE62" s="205" t="s">
        <v>484</v>
      </c>
      <c r="AF62" s="5" t="s">
        <v>1171</v>
      </c>
      <c r="AG62" s="193" t="s">
        <v>732</v>
      </c>
      <c r="AH62" s="193" t="s">
        <v>514</v>
      </c>
      <c r="AI62" s="104" t="s">
        <v>514</v>
      </c>
    </row>
    <row r="63" spans="1:35" s="388" customFormat="1" ht="25.5" x14ac:dyDescent="0.25">
      <c r="A63" s="529" t="s">
        <v>93</v>
      </c>
      <c r="B63" s="434" t="s">
        <v>494</v>
      </c>
      <c r="C63" s="382">
        <v>2018</v>
      </c>
      <c r="D63" s="382" t="s">
        <v>78</v>
      </c>
      <c r="E63" s="530" t="s">
        <v>62</v>
      </c>
      <c r="F63" s="530" t="s">
        <v>62</v>
      </c>
      <c r="G63" s="1229" t="s">
        <v>94</v>
      </c>
      <c r="H63" s="383">
        <v>1368</v>
      </c>
      <c r="I63" s="383">
        <v>0</v>
      </c>
      <c r="J63" s="436">
        <v>0</v>
      </c>
      <c r="K63" s="1994">
        <v>0</v>
      </c>
      <c r="L63" s="1542">
        <v>1367.0423800000001</v>
      </c>
      <c r="M63" s="1542">
        <v>0</v>
      </c>
      <c r="N63" s="713">
        <v>0</v>
      </c>
      <c r="O63" s="437">
        <v>0</v>
      </c>
      <c r="P63" s="437">
        <v>0</v>
      </c>
      <c r="Q63" s="532">
        <v>1368</v>
      </c>
      <c r="R63" s="1543">
        <v>1860</v>
      </c>
      <c r="S63" s="737">
        <v>-492</v>
      </c>
      <c r="T63" s="1543">
        <f t="shared" si="10"/>
        <v>1368</v>
      </c>
      <c r="U63" s="713">
        <v>0</v>
      </c>
      <c r="V63" s="533">
        <v>0</v>
      </c>
      <c r="W63" s="533">
        <v>0</v>
      </c>
      <c r="X63" s="532">
        <v>0</v>
      </c>
      <c r="Y63" s="531">
        <v>0</v>
      </c>
      <c r="Z63" s="531">
        <v>0</v>
      </c>
      <c r="AA63" s="562">
        <v>0</v>
      </c>
      <c r="AB63" s="533">
        <v>0</v>
      </c>
      <c r="AC63" s="532">
        <v>0</v>
      </c>
      <c r="AD63" s="2074">
        <v>0</v>
      </c>
      <c r="AE63" s="478" t="s">
        <v>1322</v>
      </c>
      <c r="AF63" s="382" t="s">
        <v>535</v>
      </c>
      <c r="AG63" s="566" t="s">
        <v>732</v>
      </c>
      <c r="AH63" s="566" t="s">
        <v>514</v>
      </c>
      <c r="AI63" s="565" t="s">
        <v>514</v>
      </c>
    </row>
    <row r="64" spans="1:35" ht="25.5" x14ac:dyDescent="0.25">
      <c r="A64" s="70" t="s">
        <v>95</v>
      </c>
      <c r="B64" s="93" t="s">
        <v>494</v>
      </c>
      <c r="C64" s="81">
        <v>2018</v>
      </c>
      <c r="D64" s="81" t="s">
        <v>78</v>
      </c>
      <c r="E64" s="80" t="s">
        <v>62</v>
      </c>
      <c r="F64" s="80" t="s">
        <v>62</v>
      </c>
      <c r="G64" s="428" t="s">
        <v>96</v>
      </c>
      <c r="H64" s="24">
        <v>350</v>
      </c>
      <c r="I64" s="24">
        <v>0</v>
      </c>
      <c r="J64" s="24">
        <v>0</v>
      </c>
      <c r="K64" s="412">
        <v>0</v>
      </c>
      <c r="L64" s="1252">
        <v>0</v>
      </c>
      <c r="M64" s="1252">
        <v>0</v>
      </c>
      <c r="N64" s="850">
        <v>0</v>
      </c>
      <c r="O64" s="155">
        <v>0</v>
      </c>
      <c r="P64" s="201">
        <v>0</v>
      </c>
      <c r="Q64" s="28">
        <v>0</v>
      </c>
      <c r="R64" s="1268">
        <v>0</v>
      </c>
      <c r="S64" s="1269">
        <v>0</v>
      </c>
      <c r="T64" s="1268">
        <f t="shared" si="10"/>
        <v>0</v>
      </c>
      <c r="U64" s="851">
        <v>0</v>
      </c>
      <c r="V64" s="496">
        <v>0</v>
      </c>
      <c r="W64" s="496">
        <v>0</v>
      </c>
      <c r="X64" s="28">
        <v>0</v>
      </c>
      <c r="Y64" s="26">
        <v>0</v>
      </c>
      <c r="Z64" s="26">
        <v>350</v>
      </c>
      <c r="AA64" s="30">
        <v>0</v>
      </c>
      <c r="AB64" s="496">
        <v>0</v>
      </c>
      <c r="AC64" s="28">
        <v>0</v>
      </c>
      <c r="AD64" s="2073">
        <v>0</v>
      </c>
      <c r="AE64" s="1880" t="s">
        <v>484</v>
      </c>
      <c r="AF64" s="5" t="s">
        <v>19</v>
      </c>
      <c r="AG64" s="193" t="s">
        <v>836</v>
      </c>
      <c r="AH64" s="193" t="s">
        <v>513</v>
      </c>
      <c r="AI64" s="104" t="s">
        <v>513</v>
      </c>
    </row>
    <row r="65" spans="1:35" ht="25.5" x14ac:dyDescent="0.25">
      <c r="A65" s="1184" t="s">
        <v>97</v>
      </c>
      <c r="B65" s="1180" t="s">
        <v>1111</v>
      </c>
      <c r="C65" s="454">
        <v>2018</v>
      </c>
      <c r="D65" s="454" t="s">
        <v>78</v>
      </c>
      <c r="E65" s="576" t="s">
        <v>11</v>
      </c>
      <c r="F65" s="576" t="s">
        <v>62</v>
      </c>
      <c r="G65" s="1127" t="s">
        <v>98</v>
      </c>
      <c r="H65" s="551">
        <v>27718.73</v>
      </c>
      <c r="I65" s="551">
        <v>11307.279719999999</v>
      </c>
      <c r="J65" s="552">
        <v>839.68700000000001</v>
      </c>
      <c r="K65" s="1901">
        <v>89.54</v>
      </c>
      <c r="L65" s="1539">
        <v>14.52</v>
      </c>
      <c r="M65" s="1539">
        <v>0</v>
      </c>
      <c r="N65" s="919">
        <f>1000-160.313</f>
        <v>839.68700000000001</v>
      </c>
      <c r="O65" s="1096">
        <v>0</v>
      </c>
      <c r="P65" s="920">
        <f>4000+2000+160.313-6070.773</f>
        <v>89.539999999999964</v>
      </c>
      <c r="Q65" s="547">
        <f>4411.45028+6070.773</f>
        <v>10482.22328</v>
      </c>
      <c r="R65" s="1449">
        <v>16411.450279999997</v>
      </c>
      <c r="S65" s="1450">
        <v>-5000</v>
      </c>
      <c r="T65" s="1449">
        <f t="shared" si="10"/>
        <v>11411.450279999997</v>
      </c>
      <c r="U65" s="919">
        <v>1000</v>
      </c>
      <c r="V65" s="920">
        <v>1000</v>
      </c>
      <c r="W65" s="920">
        <v>2000</v>
      </c>
      <c r="X65" s="547">
        <v>1000</v>
      </c>
      <c r="Y65" s="578">
        <v>5000</v>
      </c>
      <c r="Z65" s="578">
        <v>0</v>
      </c>
      <c r="AA65" s="556">
        <v>0</v>
      </c>
      <c r="AB65" s="920">
        <v>0</v>
      </c>
      <c r="AC65" s="547">
        <v>0</v>
      </c>
      <c r="AD65" s="1468">
        <v>0</v>
      </c>
      <c r="AE65" s="1540" t="s">
        <v>1323</v>
      </c>
      <c r="AF65" s="454" t="s">
        <v>43</v>
      </c>
      <c r="AG65" s="996" t="s">
        <v>491</v>
      </c>
      <c r="AH65" s="996" t="s">
        <v>491</v>
      </c>
      <c r="AI65" s="555" t="s">
        <v>514</v>
      </c>
    </row>
    <row r="66" spans="1:35" ht="25.5" x14ac:dyDescent="0.25">
      <c r="A66" s="1554" t="s">
        <v>99</v>
      </c>
      <c r="B66" s="1555" t="s">
        <v>877</v>
      </c>
      <c r="C66" s="1556">
        <v>2018</v>
      </c>
      <c r="D66" s="571" t="s">
        <v>502</v>
      </c>
      <c r="E66" s="1557" t="s">
        <v>62</v>
      </c>
      <c r="F66" s="1557" t="s">
        <v>62</v>
      </c>
      <c r="G66" s="1558" t="s">
        <v>100</v>
      </c>
      <c r="H66" s="1021">
        <f>10932.58835+916-11</f>
        <v>11837.58835</v>
      </c>
      <c r="I66" s="1559">
        <v>10932.58835</v>
      </c>
      <c r="J66" s="1021">
        <v>0</v>
      </c>
      <c r="K66" s="1901">
        <v>0</v>
      </c>
      <c r="L66" s="1561">
        <v>904.38843999999995</v>
      </c>
      <c r="M66" s="1561">
        <v>0</v>
      </c>
      <c r="N66" s="1006">
        <v>0</v>
      </c>
      <c r="O66" s="1169">
        <v>0</v>
      </c>
      <c r="P66" s="1007">
        <v>0</v>
      </c>
      <c r="Q66" s="1007">
        <v>905</v>
      </c>
      <c r="R66" s="1562">
        <v>916</v>
      </c>
      <c r="S66" s="1563">
        <v>-11</v>
      </c>
      <c r="T66" s="1562">
        <f t="shared" si="10"/>
        <v>905</v>
      </c>
      <c r="U66" s="1564">
        <v>0</v>
      </c>
      <c r="V66" s="1565">
        <v>0</v>
      </c>
      <c r="W66" s="1565">
        <v>0</v>
      </c>
      <c r="X66" s="1566">
        <v>0</v>
      </c>
      <c r="Y66" s="1567">
        <v>0</v>
      </c>
      <c r="Z66" s="1567">
        <v>0</v>
      </c>
      <c r="AA66" s="569">
        <v>0</v>
      </c>
      <c r="AB66" s="1565">
        <v>0</v>
      </c>
      <c r="AC66" s="1566">
        <v>0</v>
      </c>
      <c r="AD66" s="2075">
        <v>0</v>
      </c>
      <c r="AE66" s="1568" t="s">
        <v>1324</v>
      </c>
      <c r="AF66" s="571" t="s">
        <v>1171</v>
      </c>
      <c r="AG66" s="1010" t="s">
        <v>732</v>
      </c>
      <c r="AH66" s="1010" t="s">
        <v>514</v>
      </c>
      <c r="AI66" s="1009" t="s">
        <v>514</v>
      </c>
    </row>
    <row r="67" spans="1:35" s="391" customFormat="1" ht="25.5" x14ac:dyDescent="0.25">
      <c r="A67" s="748" t="s">
        <v>101</v>
      </c>
      <c r="B67" s="749" t="s">
        <v>517</v>
      </c>
      <c r="C67" s="5">
        <v>2018</v>
      </c>
      <c r="D67" s="5" t="s">
        <v>502</v>
      </c>
      <c r="E67" s="63" t="s">
        <v>62</v>
      </c>
      <c r="F67" s="63" t="s">
        <v>62</v>
      </c>
      <c r="G67" s="428" t="s">
        <v>102</v>
      </c>
      <c r="H67" s="16">
        <f>8821.77521+1496.00364</f>
        <v>10317.778849999999</v>
      </c>
      <c r="I67" s="1">
        <v>1508.49064</v>
      </c>
      <c r="J67" s="24">
        <v>1301.1117899999999</v>
      </c>
      <c r="K67" s="412">
        <v>7018.6149500000001</v>
      </c>
      <c r="L67" s="1252">
        <v>98.64452</v>
      </c>
      <c r="M67" s="1252">
        <v>0</v>
      </c>
      <c r="N67" s="850">
        <v>0</v>
      </c>
      <c r="O67" s="155">
        <v>1301.1117899999999</v>
      </c>
      <c r="P67" s="201">
        <f>8703.14621+118.629-12.487-68.6433-1232.46849-489.56147</f>
        <v>7018.6149500000029</v>
      </c>
      <c r="Q67" s="27">
        <v>489.56146999999999</v>
      </c>
      <c r="R67" s="1268">
        <v>8809.2882100000024</v>
      </c>
      <c r="S67" s="1269">
        <v>0</v>
      </c>
      <c r="T67" s="1268">
        <f t="shared" si="10"/>
        <v>8809.2882100000024</v>
      </c>
      <c r="U67" s="850">
        <v>0</v>
      </c>
      <c r="V67" s="201">
        <v>0</v>
      </c>
      <c r="W67" s="201">
        <v>0</v>
      </c>
      <c r="X67" s="29">
        <v>0</v>
      </c>
      <c r="Y67" s="18">
        <v>0</v>
      </c>
      <c r="Z67" s="18">
        <v>0</v>
      </c>
      <c r="AA67" s="33">
        <v>0</v>
      </c>
      <c r="AB67" s="201">
        <v>0</v>
      </c>
      <c r="AC67" s="29">
        <v>0</v>
      </c>
      <c r="AD67" s="2073">
        <v>0</v>
      </c>
      <c r="AE67" s="71" t="s">
        <v>484</v>
      </c>
      <c r="AF67" s="5" t="s">
        <v>43</v>
      </c>
      <c r="AG67" s="193" t="s">
        <v>732</v>
      </c>
      <c r="AH67" s="193" t="s">
        <v>514</v>
      </c>
      <c r="AI67" s="104" t="s">
        <v>514</v>
      </c>
    </row>
    <row r="68" spans="1:35" s="678" customFormat="1" ht="30" x14ac:dyDescent="0.25">
      <c r="A68" s="745" t="s">
        <v>103</v>
      </c>
      <c r="B68" s="746" t="s">
        <v>896</v>
      </c>
      <c r="C68" s="66">
        <v>2018</v>
      </c>
      <c r="D68" s="66" t="s">
        <v>502</v>
      </c>
      <c r="E68" s="67" t="s">
        <v>62</v>
      </c>
      <c r="F68" s="67" t="s">
        <v>62</v>
      </c>
      <c r="G68" s="145" t="s">
        <v>104</v>
      </c>
      <c r="H68" s="21">
        <v>7544</v>
      </c>
      <c r="I68" s="21">
        <v>7480.8231699999997</v>
      </c>
      <c r="J68" s="21">
        <v>60.015999999999998</v>
      </c>
      <c r="K68" s="1994">
        <v>0</v>
      </c>
      <c r="L68" s="166">
        <v>2.9039999999999999</v>
      </c>
      <c r="M68" s="166">
        <v>0</v>
      </c>
      <c r="N68" s="269">
        <v>60.015999999999998</v>
      </c>
      <c r="O68" s="206">
        <f>3090.34487-3030.16804-60.016</f>
        <v>0.16082999999988346</v>
      </c>
      <c r="P68" s="207">
        <v>0</v>
      </c>
      <c r="Q68" s="207">
        <v>3</v>
      </c>
      <c r="R68" s="1550">
        <v>63.176830000000749</v>
      </c>
      <c r="S68" s="494">
        <v>0</v>
      </c>
      <c r="T68" s="1550">
        <f t="shared" si="10"/>
        <v>63.176830000000749</v>
      </c>
      <c r="U68" s="269">
        <v>0</v>
      </c>
      <c r="V68" s="207">
        <v>0</v>
      </c>
      <c r="W68" s="207">
        <v>0</v>
      </c>
      <c r="X68" s="38">
        <v>0</v>
      </c>
      <c r="Y68" s="23">
        <v>0</v>
      </c>
      <c r="Z68" s="23">
        <v>0</v>
      </c>
      <c r="AA68" s="34">
        <v>0</v>
      </c>
      <c r="AB68" s="207">
        <v>0</v>
      </c>
      <c r="AC68" s="38">
        <v>0</v>
      </c>
      <c r="AD68" s="208">
        <v>0</v>
      </c>
      <c r="AE68" s="235" t="s">
        <v>484</v>
      </c>
      <c r="AF68" s="66" t="s">
        <v>535</v>
      </c>
      <c r="AG68" s="210" t="s">
        <v>541</v>
      </c>
      <c r="AH68" s="210" t="s">
        <v>514</v>
      </c>
      <c r="AI68" s="65" t="s">
        <v>514</v>
      </c>
    </row>
    <row r="69" spans="1:35" s="391" customFormat="1" ht="30.75" thickBot="1" x14ac:dyDescent="0.3">
      <c r="A69" s="747" t="s">
        <v>105</v>
      </c>
      <c r="B69" s="1569" t="s">
        <v>490</v>
      </c>
      <c r="C69" s="167">
        <v>2018</v>
      </c>
      <c r="D69" s="167" t="s">
        <v>502</v>
      </c>
      <c r="E69" s="307" t="s">
        <v>62</v>
      </c>
      <c r="F69" s="307" t="s">
        <v>62</v>
      </c>
      <c r="G69" s="493" t="s">
        <v>106</v>
      </c>
      <c r="H69" s="174">
        <f>3413.52561+65</f>
        <v>3478.5256100000001</v>
      </c>
      <c r="I69" s="1284">
        <v>3413.5256099999997</v>
      </c>
      <c r="J69" s="46">
        <v>0</v>
      </c>
      <c r="K69" s="46">
        <v>0</v>
      </c>
      <c r="L69" s="835">
        <v>64.713629999999995</v>
      </c>
      <c r="M69" s="835">
        <v>0</v>
      </c>
      <c r="N69" s="322">
        <v>0</v>
      </c>
      <c r="O69" s="332">
        <v>0</v>
      </c>
      <c r="P69" s="308">
        <v>0</v>
      </c>
      <c r="Q69" s="308">
        <v>65</v>
      </c>
      <c r="R69" s="1396">
        <v>65</v>
      </c>
      <c r="S69" s="495">
        <v>0</v>
      </c>
      <c r="T69" s="1396">
        <f t="shared" si="10"/>
        <v>65</v>
      </c>
      <c r="U69" s="322">
        <v>0</v>
      </c>
      <c r="V69" s="308">
        <v>0</v>
      </c>
      <c r="W69" s="308">
        <v>0</v>
      </c>
      <c r="X69" s="323">
        <v>0</v>
      </c>
      <c r="Y69" s="175">
        <v>0</v>
      </c>
      <c r="Z69" s="175">
        <v>0</v>
      </c>
      <c r="AA69" s="404">
        <v>0</v>
      </c>
      <c r="AB69" s="308">
        <v>0</v>
      </c>
      <c r="AC69" s="323">
        <v>0</v>
      </c>
      <c r="AD69" s="2076">
        <v>0</v>
      </c>
      <c r="AE69" s="831" t="s">
        <v>484</v>
      </c>
      <c r="AF69" s="167" t="s">
        <v>1171</v>
      </c>
      <c r="AG69" s="178" t="s">
        <v>732</v>
      </c>
      <c r="AH69" s="309" t="s">
        <v>514</v>
      </c>
      <c r="AI69" s="178" t="s">
        <v>514</v>
      </c>
    </row>
    <row r="70" spans="1:35" s="388" customFormat="1" ht="25.5" x14ac:dyDescent="0.25">
      <c r="A70" s="648" t="s">
        <v>441</v>
      </c>
      <c r="B70" s="654" t="s">
        <v>1222</v>
      </c>
      <c r="C70" s="520">
        <v>2019</v>
      </c>
      <c r="D70" s="520" t="s">
        <v>498</v>
      </c>
      <c r="E70" s="649" t="s">
        <v>65</v>
      </c>
      <c r="F70" s="649" t="s">
        <v>65</v>
      </c>
      <c r="G70" s="674" t="s">
        <v>407</v>
      </c>
      <c r="H70" s="540">
        <v>1384</v>
      </c>
      <c r="I70" s="540">
        <v>0</v>
      </c>
      <c r="J70" s="688">
        <v>0</v>
      </c>
      <c r="K70" s="1994">
        <v>1383.70632</v>
      </c>
      <c r="L70" s="1440">
        <v>0</v>
      </c>
      <c r="M70" s="1440">
        <v>0</v>
      </c>
      <c r="N70" s="717">
        <v>0</v>
      </c>
      <c r="O70" s="685">
        <v>0</v>
      </c>
      <c r="P70" s="685">
        <f>1384-0.29368</f>
        <v>1383.70632</v>
      </c>
      <c r="Q70" s="631">
        <f>0+0.29368</f>
        <v>0.29368</v>
      </c>
      <c r="R70" s="1550">
        <v>1400</v>
      </c>
      <c r="S70" s="494">
        <v>-16</v>
      </c>
      <c r="T70" s="1550">
        <f t="shared" si="10"/>
        <v>1384</v>
      </c>
      <c r="U70" s="717">
        <v>0</v>
      </c>
      <c r="V70" s="651">
        <v>0</v>
      </c>
      <c r="W70" s="651">
        <v>0</v>
      </c>
      <c r="X70" s="631">
        <v>0</v>
      </c>
      <c r="Y70" s="581">
        <v>0</v>
      </c>
      <c r="Z70" s="581">
        <v>0</v>
      </c>
      <c r="AA70" s="1578">
        <v>0</v>
      </c>
      <c r="AB70" s="651">
        <v>0</v>
      </c>
      <c r="AC70" s="631">
        <v>0</v>
      </c>
      <c r="AD70" s="2077">
        <v>0</v>
      </c>
      <c r="AE70" s="324" t="s">
        <v>1325</v>
      </c>
      <c r="AF70" s="682" t="s">
        <v>535</v>
      </c>
      <c r="AG70" s="656" t="s">
        <v>1008</v>
      </c>
      <c r="AH70" s="656" t="s">
        <v>514</v>
      </c>
      <c r="AI70" s="668" t="s">
        <v>514</v>
      </c>
    </row>
    <row r="71" spans="1:35" s="387" customFormat="1" ht="30" x14ac:dyDescent="0.25">
      <c r="A71" s="1184" t="s">
        <v>442</v>
      </c>
      <c r="B71" s="1185" t="s">
        <v>971</v>
      </c>
      <c r="C71" s="454">
        <v>2019</v>
      </c>
      <c r="D71" s="454" t="s">
        <v>498</v>
      </c>
      <c r="E71" s="576" t="s">
        <v>62</v>
      </c>
      <c r="F71" s="576" t="s">
        <v>62</v>
      </c>
      <c r="G71" s="1027" t="s">
        <v>550</v>
      </c>
      <c r="H71" s="551">
        <v>71855</v>
      </c>
      <c r="I71" s="551">
        <v>5841.0490900000004</v>
      </c>
      <c r="J71" s="552">
        <v>0</v>
      </c>
      <c r="K71" s="1901">
        <v>0</v>
      </c>
      <c r="L71" s="1539">
        <v>13153.987719999999</v>
      </c>
      <c r="M71" s="1539">
        <v>0</v>
      </c>
      <c r="N71" s="919">
        <v>0</v>
      </c>
      <c r="O71" s="547">
        <v>0</v>
      </c>
      <c r="P71" s="920">
        <v>0</v>
      </c>
      <c r="Q71" s="586">
        <f>6000-0.04909+7154</f>
        <v>13153.95091</v>
      </c>
      <c r="R71" s="1449">
        <v>16158.95091</v>
      </c>
      <c r="S71" s="1450">
        <v>-3005</v>
      </c>
      <c r="T71" s="1449">
        <f t="shared" si="10"/>
        <v>13153.95091</v>
      </c>
      <c r="U71" s="919">
        <v>0</v>
      </c>
      <c r="V71" s="920">
        <v>3005</v>
      </c>
      <c r="W71" s="920">
        <v>5000</v>
      </c>
      <c r="X71" s="547">
        <v>5000</v>
      </c>
      <c r="Y71" s="578">
        <v>13005</v>
      </c>
      <c r="Z71" s="579">
        <v>39855</v>
      </c>
      <c r="AA71" s="553">
        <v>0</v>
      </c>
      <c r="AB71" s="907">
        <v>0</v>
      </c>
      <c r="AC71" s="547">
        <v>0</v>
      </c>
      <c r="AD71" s="1468">
        <v>0</v>
      </c>
      <c r="AE71" s="574" t="s">
        <v>1326</v>
      </c>
      <c r="AF71" s="454" t="s">
        <v>43</v>
      </c>
      <c r="AG71" s="1047" t="s">
        <v>901</v>
      </c>
      <c r="AH71" s="996" t="s">
        <v>514</v>
      </c>
      <c r="AI71" s="555" t="s">
        <v>514</v>
      </c>
    </row>
    <row r="72" spans="1:35" s="391" customFormat="1" ht="30" x14ac:dyDescent="0.25">
      <c r="A72" s="62" t="s">
        <v>443</v>
      </c>
      <c r="B72" s="85" t="s">
        <v>494</v>
      </c>
      <c r="C72" s="5">
        <v>2019</v>
      </c>
      <c r="D72" s="5" t="s">
        <v>498</v>
      </c>
      <c r="E72" s="63" t="s">
        <v>62</v>
      </c>
      <c r="F72" s="63" t="s">
        <v>62</v>
      </c>
      <c r="G72" s="417" t="s">
        <v>408</v>
      </c>
      <c r="H72" s="16">
        <v>21286</v>
      </c>
      <c r="I72" s="16">
        <v>0</v>
      </c>
      <c r="J72" s="24">
        <v>0</v>
      </c>
      <c r="K72" s="412">
        <v>0</v>
      </c>
      <c r="L72" s="1252">
        <v>0</v>
      </c>
      <c r="M72" s="1252">
        <v>0</v>
      </c>
      <c r="N72" s="850">
        <v>0</v>
      </c>
      <c r="O72" s="29">
        <v>0</v>
      </c>
      <c r="P72" s="201">
        <v>0</v>
      </c>
      <c r="Q72" s="29">
        <v>0</v>
      </c>
      <c r="R72" s="1268">
        <v>0</v>
      </c>
      <c r="S72" s="1269">
        <v>0</v>
      </c>
      <c r="T72" s="1268">
        <f t="shared" si="10"/>
        <v>0</v>
      </c>
      <c r="U72" s="850">
        <v>0</v>
      </c>
      <c r="V72" s="201">
        <v>0</v>
      </c>
      <c r="W72" s="201">
        <v>0</v>
      </c>
      <c r="X72" s="29">
        <v>0</v>
      </c>
      <c r="Y72" s="18">
        <v>0</v>
      </c>
      <c r="Z72" s="18">
        <v>21286</v>
      </c>
      <c r="AA72" s="41">
        <v>0</v>
      </c>
      <c r="AB72" s="347">
        <v>0</v>
      </c>
      <c r="AC72" s="29">
        <v>0</v>
      </c>
      <c r="AD72" s="2073">
        <v>0</v>
      </c>
      <c r="AE72" s="52" t="s">
        <v>484</v>
      </c>
      <c r="AF72" s="5" t="s">
        <v>13</v>
      </c>
      <c r="AG72" s="193" t="s">
        <v>1327</v>
      </c>
      <c r="AH72" s="193" t="s">
        <v>514</v>
      </c>
      <c r="AI72" s="104" t="s">
        <v>513</v>
      </c>
    </row>
    <row r="73" spans="1:35" s="405" customFormat="1" ht="25.5" x14ac:dyDescent="0.25">
      <c r="A73" s="1571" t="s">
        <v>444</v>
      </c>
      <c r="B73" s="1572" t="s">
        <v>972</v>
      </c>
      <c r="C73" s="470">
        <v>2019</v>
      </c>
      <c r="D73" s="470" t="s">
        <v>498</v>
      </c>
      <c r="E73" s="986" t="s">
        <v>62</v>
      </c>
      <c r="F73" s="986" t="s">
        <v>62</v>
      </c>
      <c r="G73" s="1573" t="s">
        <v>409</v>
      </c>
      <c r="H73" s="558">
        <v>11802</v>
      </c>
      <c r="I73" s="558">
        <v>3829.4846400000001</v>
      </c>
      <c r="J73" s="985">
        <v>0</v>
      </c>
      <c r="K73" s="1914">
        <v>0</v>
      </c>
      <c r="L73" s="1575">
        <v>0</v>
      </c>
      <c r="M73" s="1575">
        <v>0</v>
      </c>
      <c r="N73" s="940">
        <f>2999.51536+3829.48464-3829.48464-2999.51536</f>
        <v>0</v>
      </c>
      <c r="O73" s="560">
        <v>0</v>
      </c>
      <c r="P73" s="941">
        <v>0</v>
      </c>
      <c r="Q73" s="941">
        <f>2000+1171+2999.51536-96</f>
        <v>6074.5153599999994</v>
      </c>
      <c r="R73" s="1481">
        <v>6170.5153599999994</v>
      </c>
      <c r="S73" s="1482">
        <v>-96</v>
      </c>
      <c r="T73" s="1481">
        <f t="shared" si="10"/>
        <v>6074.5153599999994</v>
      </c>
      <c r="U73" s="940">
        <v>1898</v>
      </c>
      <c r="V73" s="941">
        <v>0</v>
      </c>
      <c r="W73" s="941">
        <v>0</v>
      </c>
      <c r="X73" s="560">
        <v>0</v>
      </c>
      <c r="Y73" s="587">
        <v>1898</v>
      </c>
      <c r="Z73" s="938">
        <v>0</v>
      </c>
      <c r="AA73" s="1576">
        <v>0</v>
      </c>
      <c r="AB73" s="1577">
        <v>0</v>
      </c>
      <c r="AC73" s="560">
        <v>0</v>
      </c>
      <c r="AD73" s="1747">
        <v>0</v>
      </c>
      <c r="AE73" s="689" t="s">
        <v>1328</v>
      </c>
      <c r="AF73" s="470" t="s">
        <v>43</v>
      </c>
      <c r="AG73" s="1164" t="s">
        <v>1008</v>
      </c>
      <c r="AH73" s="1164" t="s">
        <v>514</v>
      </c>
      <c r="AI73" s="1167" t="s">
        <v>514</v>
      </c>
    </row>
    <row r="74" spans="1:35" s="388" customFormat="1" ht="30" x14ac:dyDescent="0.25">
      <c r="A74" s="127" t="s">
        <v>445</v>
      </c>
      <c r="B74" s="114" t="s">
        <v>1104</v>
      </c>
      <c r="C74" s="66">
        <v>2019</v>
      </c>
      <c r="D74" s="66" t="s">
        <v>498</v>
      </c>
      <c r="E74" s="67" t="s">
        <v>62</v>
      </c>
      <c r="F74" s="67" t="s">
        <v>62</v>
      </c>
      <c r="G74" s="145" t="s">
        <v>410</v>
      </c>
      <c r="H74" s="21">
        <v>683.32324000000006</v>
      </c>
      <c r="I74" s="21">
        <v>0</v>
      </c>
      <c r="J74" s="36">
        <v>683.32324000000006</v>
      </c>
      <c r="K74" s="1994">
        <v>0</v>
      </c>
      <c r="L74" s="1256">
        <v>0</v>
      </c>
      <c r="M74" s="1256">
        <v>0</v>
      </c>
      <c r="N74" s="269">
        <f>706-22.67676</f>
        <v>683.32323999999994</v>
      </c>
      <c r="O74" s="38">
        <v>0</v>
      </c>
      <c r="P74" s="207">
        <v>0</v>
      </c>
      <c r="Q74" s="38">
        <v>0</v>
      </c>
      <c r="R74" s="1550">
        <v>683.32323999999994</v>
      </c>
      <c r="S74" s="494">
        <v>0</v>
      </c>
      <c r="T74" s="1550">
        <f t="shared" si="10"/>
        <v>683.32323999999994</v>
      </c>
      <c r="U74" s="269">
        <v>0</v>
      </c>
      <c r="V74" s="207">
        <v>0</v>
      </c>
      <c r="W74" s="207">
        <v>0</v>
      </c>
      <c r="X74" s="38">
        <v>0</v>
      </c>
      <c r="Y74" s="23">
        <v>0</v>
      </c>
      <c r="Z74" s="39">
        <v>0</v>
      </c>
      <c r="AA74" s="79">
        <v>0</v>
      </c>
      <c r="AB74" s="535">
        <v>0</v>
      </c>
      <c r="AC74" s="38">
        <v>0</v>
      </c>
      <c r="AD74" s="2078">
        <v>0</v>
      </c>
      <c r="AE74" s="118" t="s">
        <v>484</v>
      </c>
      <c r="AF74" s="66" t="s">
        <v>535</v>
      </c>
      <c r="AG74" s="210" t="s">
        <v>608</v>
      </c>
      <c r="AH74" s="210" t="s">
        <v>514</v>
      </c>
      <c r="AI74" s="65" t="s">
        <v>514</v>
      </c>
    </row>
    <row r="75" spans="1:35" ht="25.5" x14ac:dyDescent="0.25">
      <c r="A75" s="767" t="s">
        <v>446</v>
      </c>
      <c r="B75" s="768" t="s">
        <v>879</v>
      </c>
      <c r="C75" s="4">
        <v>2019</v>
      </c>
      <c r="D75" s="5" t="s">
        <v>498</v>
      </c>
      <c r="E75" s="60" t="s">
        <v>62</v>
      </c>
      <c r="F75" s="60" t="s">
        <v>62</v>
      </c>
      <c r="G75" s="488" t="s">
        <v>411</v>
      </c>
      <c r="H75" s="1">
        <v>7500</v>
      </c>
      <c r="I75" s="1">
        <v>2794.6111500000002</v>
      </c>
      <c r="J75" s="24">
        <v>4088.20831</v>
      </c>
      <c r="K75" s="412">
        <v>99.506050000000002</v>
      </c>
      <c r="L75" s="1252">
        <v>0</v>
      </c>
      <c r="M75" s="1252">
        <v>0</v>
      </c>
      <c r="N75" s="850">
        <f>1000-81.893+799.16151</f>
        <v>1717.2685099999999</v>
      </c>
      <c r="O75" s="29">
        <f>3787.28185-799.16151-617.18054</f>
        <v>2370.9398000000001</v>
      </c>
      <c r="P75" s="347">
        <f>617.18054-517.67449</f>
        <v>99.506049999999959</v>
      </c>
      <c r="Q75" s="15">
        <v>517.67448999999999</v>
      </c>
      <c r="R75" s="1268">
        <v>4705.3888500000003</v>
      </c>
      <c r="S75" s="1269">
        <v>0</v>
      </c>
      <c r="T75" s="1268">
        <f t="shared" si="10"/>
        <v>4705.3888500000003</v>
      </c>
      <c r="U75" s="849">
        <v>0</v>
      </c>
      <c r="V75" s="347">
        <v>0</v>
      </c>
      <c r="W75" s="347">
        <v>0</v>
      </c>
      <c r="X75" s="27">
        <v>0</v>
      </c>
      <c r="Y75" s="3">
        <v>0</v>
      </c>
      <c r="Z75" s="3">
        <v>0</v>
      </c>
      <c r="AA75" s="41">
        <v>0</v>
      </c>
      <c r="AB75" s="347">
        <v>0</v>
      </c>
      <c r="AC75" s="27">
        <v>0</v>
      </c>
      <c r="AD75" s="1231">
        <v>0</v>
      </c>
      <c r="AE75" s="119" t="s">
        <v>484</v>
      </c>
      <c r="AF75" s="4" t="s">
        <v>1171</v>
      </c>
      <c r="AG75" s="246" t="s">
        <v>732</v>
      </c>
      <c r="AH75" s="193" t="s">
        <v>514</v>
      </c>
      <c r="AI75" s="104" t="s">
        <v>514</v>
      </c>
    </row>
    <row r="76" spans="1:35" s="387" customFormat="1" ht="25.5" x14ac:dyDescent="0.25">
      <c r="A76" s="62" t="s">
        <v>447</v>
      </c>
      <c r="B76" s="85" t="s">
        <v>494</v>
      </c>
      <c r="C76" s="5">
        <v>2019</v>
      </c>
      <c r="D76" s="5" t="s">
        <v>498</v>
      </c>
      <c r="E76" s="63" t="s">
        <v>62</v>
      </c>
      <c r="F76" s="63" t="s">
        <v>62</v>
      </c>
      <c r="G76" s="428" t="s">
        <v>412</v>
      </c>
      <c r="H76" s="16">
        <v>5821</v>
      </c>
      <c r="I76" s="16">
        <v>0</v>
      </c>
      <c r="J76" s="24">
        <v>0</v>
      </c>
      <c r="K76" s="412">
        <v>0</v>
      </c>
      <c r="L76" s="1252">
        <v>0</v>
      </c>
      <c r="M76" s="1252">
        <v>0</v>
      </c>
      <c r="N76" s="850">
        <v>0</v>
      </c>
      <c r="O76" s="29">
        <v>0</v>
      </c>
      <c r="P76" s="201">
        <v>0</v>
      </c>
      <c r="Q76" s="29">
        <v>0</v>
      </c>
      <c r="R76" s="1268">
        <v>0</v>
      </c>
      <c r="S76" s="1269">
        <v>0</v>
      </c>
      <c r="T76" s="1268">
        <f t="shared" si="10"/>
        <v>0</v>
      </c>
      <c r="U76" s="850">
        <v>0</v>
      </c>
      <c r="V76" s="201">
        <v>0</v>
      </c>
      <c r="W76" s="201">
        <v>5821</v>
      </c>
      <c r="X76" s="29">
        <v>0</v>
      </c>
      <c r="Y76" s="18">
        <v>5821</v>
      </c>
      <c r="Z76" s="3">
        <v>0</v>
      </c>
      <c r="AA76" s="41">
        <v>0</v>
      </c>
      <c r="AB76" s="347">
        <v>0</v>
      </c>
      <c r="AC76" s="29">
        <v>0</v>
      </c>
      <c r="AD76" s="2073">
        <v>0</v>
      </c>
      <c r="AE76" s="52" t="s">
        <v>484</v>
      </c>
      <c r="AF76" s="5" t="s">
        <v>43</v>
      </c>
      <c r="AG76" s="193" t="s">
        <v>1006</v>
      </c>
      <c r="AH76" s="193" t="s">
        <v>514</v>
      </c>
      <c r="AI76" s="104" t="s">
        <v>513</v>
      </c>
    </row>
    <row r="77" spans="1:35" ht="25.5" x14ac:dyDescent="0.25">
      <c r="A77" s="62" t="s">
        <v>448</v>
      </c>
      <c r="B77" s="85" t="s">
        <v>494</v>
      </c>
      <c r="C77" s="5">
        <v>2019</v>
      </c>
      <c r="D77" s="5" t="s">
        <v>498</v>
      </c>
      <c r="E77" s="84" t="s">
        <v>62</v>
      </c>
      <c r="F77" s="84" t="s">
        <v>62</v>
      </c>
      <c r="G77" s="1227" t="s">
        <v>413</v>
      </c>
      <c r="H77" s="6">
        <v>13310</v>
      </c>
      <c r="I77" s="16">
        <v>0</v>
      </c>
      <c r="J77" s="24">
        <v>0</v>
      </c>
      <c r="K77" s="412">
        <v>0</v>
      </c>
      <c r="L77" s="1252">
        <v>0</v>
      </c>
      <c r="M77" s="1252">
        <v>0</v>
      </c>
      <c r="N77" s="850">
        <v>0</v>
      </c>
      <c r="O77" s="29">
        <v>0</v>
      </c>
      <c r="P77" s="201">
        <v>0</v>
      </c>
      <c r="Q77" s="29">
        <v>0</v>
      </c>
      <c r="R77" s="1268">
        <v>0</v>
      </c>
      <c r="S77" s="1269">
        <v>0</v>
      </c>
      <c r="T77" s="1268">
        <f t="shared" si="10"/>
        <v>0</v>
      </c>
      <c r="U77" s="850">
        <v>5000</v>
      </c>
      <c r="V77" s="201">
        <v>0</v>
      </c>
      <c r="W77" s="201">
        <v>0</v>
      </c>
      <c r="X77" s="29">
        <v>0</v>
      </c>
      <c r="Y77" s="18">
        <v>5000</v>
      </c>
      <c r="Z77" s="18">
        <v>8310</v>
      </c>
      <c r="AA77" s="41">
        <v>0</v>
      </c>
      <c r="AB77" s="347">
        <v>0</v>
      </c>
      <c r="AC77" s="29">
        <v>0</v>
      </c>
      <c r="AD77" s="2073">
        <v>0</v>
      </c>
      <c r="AE77" s="52" t="s">
        <v>484</v>
      </c>
      <c r="AF77" s="5" t="s">
        <v>13</v>
      </c>
      <c r="AG77" s="193" t="s">
        <v>1329</v>
      </c>
      <c r="AH77" s="193" t="s">
        <v>514</v>
      </c>
      <c r="AI77" s="104" t="s">
        <v>513</v>
      </c>
    </row>
    <row r="78" spans="1:35" s="388" customFormat="1" ht="25.5" x14ac:dyDescent="0.25">
      <c r="A78" s="529" t="s">
        <v>449</v>
      </c>
      <c r="B78" s="434" t="s">
        <v>1230</v>
      </c>
      <c r="C78" s="382">
        <v>2019</v>
      </c>
      <c r="D78" s="382" t="s">
        <v>498</v>
      </c>
      <c r="E78" s="530" t="s">
        <v>62</v>
      </c>
      <c r="F78" s="530" t="s">
        <v>62</v>
      </c>
      <c r="G78" s="1229" t="s">
        <v>414</v>
      </c>
      <c r="H78" s="383">
        <v>6908</v>
      </c>
      <c r="I78" s="383">
        <v>0</v>
      </c>
      <c r="J78" s="436">
        <v>3572.0175100000001</v>
      </c>
      <c r="K78" s="1994">
        <v>3335.6087000000002</v>
      </c>
      <c r="L78" s="1542">
        <v>0</v>
      </c>
      <c r="M78" s="1542">
        <v>0</v>
      </c>
      <c r="N78" s="562">
        <v>0</v>
      </c>
      <c r="O78" s="1110">
        <v>3572.0175100000001</v>
      </c>
      <c r="P78" s="1541">
        <f>3335.6087</f>
        <v>3335.6087000000002</v>
      </c>
      <c r="Q78" s="438">
        <v>0.37379000000000001</v>
      </c>
      <c r="R78" s="1543">
        <v>7500</v>
      </c>
      <c r="S78" s="737">
        <v>-592</v>
      </c>
      <c r="T78" s="1543">
        <f t="shared" si="10"/>
        <v>6908</v>
      </c>
      <c r="U78" s="713">
        <v>0</v>
      </c>
      <c r="V78" s="533">
        <v>0</v>
      </c>
      <c r="W78" s="533">
        <v>0</v>
      </c>
      <c r="X78" s="532">
        <v>0</v>
      </c>
      <c r="Y78" s="531">
        <v>0</v>
      </c>
      <c r="Z78" s="581">
        <v>0</v>
      </c>
      <c r="AA78" s="1578">
        <v>0</v>
      </c>
      <c r="AB78" s="651">
        <v>0</v>
      </c>
      <c r="AC78" s="532">
        <v>0</v>
      </c>
      <c r="AD78" s="2077">
        <v>0</v>
      </c>
      <c r="AE78" s="283" t="s">
        <v>1330</v>
      </c>
      <c r="AF78" s="382" t="s">
        <v>535</v>
      </c>
      <c r="AG78" s="595" t="s">
        <v>523</v>
      </c>
      <c r="AH78" s="566" t="s">
        <v>514</v>
      </c>
      <c r="AI78" s="565" t="s">
        <v>514</v>
      </c>
    </row>
    <row r="79" spans="1:35" s="391" customFormat="1" ht="25.5" x14ac:dyDescent="0.25">
      <c r="A79" s="62" t="s">
        <v>450</v>
      </c>
      <c r="B79" s="85" t="s">
        <v>494</v>
      </c>
      <c r="C79" s="5">
        <v>2019</v>
      </c>
      <c r="D79" s="5" t="s">
        <v>498</v>
      </c>
      <c r="E79" s="63" t="s">
        <v>62</v>
      </c>
      <c r="F79" s="63" t="s">
        <v>62</v>
      </c>
      <c r="G79" s="428" t="s">
        <v>415</v>
      </c>
      <c r="H79" s="16">
        <v>9732</v>
      </c>
      <c r="I79" s="16">
        <v>0</v>
      </c>
      <c r="J79" s="24">
        <v>0</v>
      </c>
      <c r="K79" s="412">
        <v>0</v>
      </c>
      <c r="L79" s="1252">
        <v>0</v>
      </c>
      <c r="M79" s="1252">
        <v>0</v>
      </c>
      <c r="N79" s="850">
        <v>0</v>
      </c>
      <c r="O79" s="29">
        <v>0</v>
      </c>
      <c r="P79" s="201">
        <v>0</v>
      </c>
      <c r="Q79" s="29">
        <v>0</v>
      </c>
      <c r="R79" s="1268">
        <v>0</v>
      </c>
      <c r="S79" s="1269">
        <v>0</v>
      </c>
      <c r="T79" s="1268">
        <f t="shared" si="10"/>
        <v>0</v>
      </c>
      <c r="U79" s="850">
        <v>0</v>
      </c>
      <c r="V79" s="201">
        <v>0</v>
      </c>
      <c r="W79" s="201">
        <v>0</v>
      </c>
      <c r="X79" s="29">
        <v>0</v>
      </c>
      <c r="Y79" s="18">
        <v>0</v>
      </c>
      <c r="Z79" s="18">
        <v>9732</v>
      </c>
      <c r="AA79" s="41">
        <v>0</v>
      </c>
      <c r="AB79" s="347">
        <v>0</v>
      </c>
      <c r="AC79" s="29">
        <v>0</v>
      </c>
      <c r="AD79" s="2073">
        <v>0</v>
      </c>
      <c r="AE79" s="52" t="s">
        <v>484</v>
      </c>
      <c r="AF79" s="5" t="s">
        <v>43</v>
      </c>
      <c r="AG79" s="193" t="s">
        <v>1327</v>
      </c>
      <c r="AH79" s="193" t="s">
        <v>514</v>
      </c>
      <c r="AI79" s="104" t="s">
        <v>513</v>
      </c>
    </row>
    <row r="80" spans="1:35" s="409" customFormat="1" ht="25.5" x14ac:dyDescent="0.25">
      <c r="A80" s="62" t="s">
        <v>451</v>
      </c>
      <c r="B80" s="85" t="s">
        <v>494</v>
      </c>
      <c r="C80" s="5">
        <v>2019</v>
      </c>
      <c r="D80" s="5" t="s">
        <v>498</v>
      </c>
      <c r="E80" s="63" t="s">
        <v>62</v>
      </c>
      <c r="F80" s="63" t="s">
        <v>62</v>
      </c>
      <c r="G80" s="428" t="s">
        <v>416</v>
      </c>
      <c r="H80" s="16">
        <v>10599.735420000001</v>
      </c>
      <c r="I80" s="16">
        <v>0</v>
      </c>
      <c r="J80" s="24">
        <v>0</v>
      </c>
      <c r="K80" s="412">
        <v>0</v>
      </c>
      <c r="L80" s="1252">
        <v>0</v>
      </c>
      <c r="M80" s="1252">
        <v>0</v>
      </c>
      <c r="N80" s="850">
        <v>0</v>
      </c>
      <c r="O80" s="29">
        <v>0</v>
      </c>
      <c r="P80" s="201">
        <v>0</v>
      </c>
      <c r="Q80" s="29">
        <v>0</v>
      </c>
      <c r="R80" s="1263">
        <v>0</v>
      </c>
      <c r="S80" s="1262">
        <v>0</v>
      </c>
      <c r="T80" s="1263">
        <f t="shared" si="10"/>
        <v>0</v>
      </c>
      <c r="U80" s="850">
        <v>0</v>
      </c>
      <c r="V80" s="201">
        <v>0</v>
      </c>
      <c r="W80" s="201">
        <v>0</v>
      </c>
      <c r="X80" s="29">
        <v>0</v>
      </c>
      <c r="Y80" s="18">
        <v>0</v>
      </c>
      <c r="Z80" s="18">
        <v>10599.735420000001</v>
      </c>
      <c r="AA80" s="41">
        <v>0</v>
      </c>
      <c r="AB80" s="347">
        <v>0</v>
      </c>
      <c r="AC80" s="29">
        <v>0</v>
      </c>
      <c r="AD80" s="1231">
        <v>0</v>
      </c>
      <c r="AE80" s="119" t="s">
        <v>484</v>
      </c>
      <c r="AF80" s="5" t="s">
        <v>19</v>
      </c>
      <c r="AG80" s="193" t="s">
        <v>904</v>
      </c>
      <c r="AH80" s="193" t="s">
        <v>513</v>
      </c>
      <c r="AI80" s="104" t="s">
        <v>513</v>
      </c>
    </row>
    <row r="81" spans="1:35" ht="25.5" x14ac:dyDescent="0.25">
      <c r="A81" s="745" t="s">
        <v>452</v>
      </c>
      <c r="B81" s="746" t="s">
        <v>895</v>
      </c>
      <c r="C81" s="66">
        <v>2019</v>
      </c>
      <c r="D81" s="66" t="s">
        <v>498</v>
      </c>
      <c r="E81" s="67" t="s">
        <v>62</v>
      </c>
      <c r="F81" s="67" t="s">
        <v>62</v>
      </c>
      <c r="G81" s="736" t="s">
        <v>417</v>
      </c>
      <c r="H81" s="21">
        <f>6618.72321+124</f>
        <v>6742.7232100000001</v>
      </c>
      <c r="I81" s="166">
        <v>6618.7232100000001</v>
      </c>
      <c r="J81" s="24">
        <v>0</v>
      </c>
      <c r="K81" s="412">
        <v>0</v>
      </c>
      <c r="L81" s="1252">
        <v>123.52014</v>
      </c>
      <c r="M81" s="1252">
        <v>0</v>
      </c>
      <c r="N81" s="269">
        <v>0</v>
      </c>
      <c r="O81" s="206">
        <v>0</v>
      </c>
      <c r="P81" s="207">
        <v>0</v>
      </c>
      <c r="Q81" s="207">
        <v>124</v>
      </c>
      <c r="R81" s="1318">
        <v>124</v>
      </c>
      <c r="S81" s="635">
        <v>0</v>
      </c>
      <c r="T81" s="1318">
        <f t="shared" si="10"/>
        <v>124</v>
      </c>
      <c r="U81" s="850">
        <v>0</v>
      </c>
      <c r="V81" s="201">
        <v>0</v>
      </c>
      <c r="W81" s="201">
        <v>0</v>
      </c>
      <c r="X81" s="29">
        <v>0</v>
      </c>
      <c r="Y81" s="18">
        <v>0</v>
      </c>
      <c r="Z81" s="18">
        <v>0</v>
      </c>
      <c r="AA81" s="41">
        <v>0</v>
      </c>
      <c r="AB81" s="347">
        <v>0</v>
      </c>
      <c r="AC81" s="29">
        <v>0</v>
      </c>
      <c r="AD81" s="1231">
        <v>0</v>
      </c>
      <c r="AE81" s="119" t="s">
        <v>484</v>
      </c>
      <c r="AF81" s="66" t="s">
        <v>1171</v>
      </c>
      <c r="AG81" s="246" t="s">
        <v>732</v>
      </c>
      <c r="AH81" s="210" t="s">
        <v>514</v>
      </c>
      <c r="AI81" s="65" t="s">
        <v>514</v>
      </c>
    </row>
    <row r="82" spans="1:35" s="1912" customFormat="1" ht="30" x14ac:dyDescent="0.25">
      <c r="A82" s="127" t="s">
        <v>453</v>
      </c>
      <c r="B82" s="114" t="s">
        <v>1124</v>
      </c>
      <c r="C82" s="66">
        <v>2019</v>
      </c>
      <c r="D82" s="66" t="s">
        <v>498</v>
      </c>
      <c r="E82" s="67" t="s">
        <v>62</v>
      </c>
      <c r="F82" s="67" t="s">
        <v>62</v>
      </c>
      <c r="G82" s="145" t="s">
        <v>418</v>
      </c>
      <c r="H82" s="21">
        <v>14594.353280000003</v>
      </c>
      <c r="I82" s="21">
        <v>0</v>
      </c>
      <c r="J82" s="36">
        <v>278.29577</v>
      </c>
      <c r="K82" s="1994">
        <v>0</v>
      </c>
      <c r="L82" s="1256">
        <v>14316.057510000001</v>
      </c>
      <c r="M82" s="1256">
        <v>0</v>
      </c>
      <c r="N82" s="269">
        <v>278.29577</v>
      </c>
      <c r="O82" s="38">
        <v>0</v>
      </c>
      <c r="P82" s="207">
        <v>0</v>
      </c>
      <c r="Q82" s="38">
        <v>14316.057510000001</v>
      </c>
      <c r="R82" s="1550">
        <v>50000</v>
      </c>
      <c r="S82" s="494">
        <v>-35405.646719999997</v>
      </c>
      <c r="T82" s="1550">
        <f t="shared" si="10"/>
        <v>14594.353280000003</v>
      </c>
      <c r="U82" s="269">
        <v>0</v>
      </c>
      <c r="V82" s="207">
        <v>0</v>
      </c>
      <c r="W82" s="207">
        <v>0</v>
      </c>
      <c r="X82" s="38">
        <v>0</v>
      </c>
      <c r="Y82" s="23">
        <v>0</v>
      </c>
      <c r="Z82" s="23">
        <v>0</v>
      </c>
      <c r="AA82" s="79">
        <v>0</v>
      </c>
      <c r="AB82" s="535">
        <v>0</v>
      </c>
      <c r="AC82" s="38">
        <v>0</v>
      </c>
      <c r="AD82" s="2078">
        <v>0</v>
      </c>
      <c r="AE82" s="118" t="s">
        <v>1460</v>
      </c>
      <c r="AF82" s="66" t="s">
        <v>516</v>
      </c>
      <c r="AG82" s="210" t="s">
        <v>836</v>
      </c>
      <c r="AH82" s="210" t="s">
        <v>514</v>
      </c>
      <c r="AI82" s="65" t="s">
        <v>514</v>
      </c>
    </row>
    <row r="83" spans="1:35" s="388" customFormat="1" ht="26.25" thickBot="1" x14ac:dyDescent="0.3">
      <c r="A83" s="1589" t="s">
        <v>454</v>
      </c>
      <c r="B83" s="1590" t="s">
        <v>875</v>
      </c>
      <c r="C83" s="380">
        <v>2019</v>
      </c>
      <c r="D83" s="380" t="s">
        <v>498</v>
      </c>
      <c r="E83" s="816" t="s">
        <v>62</v>
      </c>
      <c r="F83" s="816" t="s">
        <v>62</v>
      </c>
      <c r="G83" s="701" t="s">
        <v>419</v>
      </c>
      <c r="H83" s="381">
        <f>11042-242</f>
        <v>10800</v>
      </c>
      <c r="I83" s="381">
        <v>10252.747650000001</v>
      </c>
      <c r="J83" s="381">
        <v>484.36324999999999</v>
      </c>
      <c r="K83" s="1284">
        <v>0</v>
      </c>
      <c r="L83" s="1591">
        <v>62.810339999999997</v>
      </c>
      <c r="M83" s="1591">
        <v>0</v>
      </c>
      <c r="N83" s="793">
        <f>811.03235-21.78-789.25235</f>
        <v>0</v>
      </c>
      <c r="O83" s="819">
        <f>789.25235-304.8891</f>
        <v>484.36324999999999</v>
      </c>
      <c r="P83" s="820">
        <v>0</v>
      </c>
      <c r="Q83" s="820">
        <f>63-0.1109</f>
        <v>62.889099999999999</v>
      </c>
      <c r="R83" s="1592">
        <v>789.25234999999998</v>
      </c>
      <c r="S83" s="1593">
        <v>-242</v>
      </c>
      <c r="T83" s="1592">
        <f t="shared" si="10"/>
        <v>547.25234999999998</v>
      </c>
      <c r="U83" s="793">
        <v>0</v>
      </c>
      <c r="V83" s="820">
        <v>0</v>
      </c>
      <c r="W83" s="820">
        <v>0</v>
      </c>
      <c r="X83" s="819">
        <v>0</v>
      </c>
      <c r="Y83" s="702">
        <v>0</v>
      </c>
      <c r="Z83" s="702">
        <v>0</v>
      </c>
      <c r="AA83" s="1769">
        <v>0</v>
      </c>
      <c r="AB83" s="820">
        <v>0</v>
      </c>
      <c r="AC83" s="819">
        <v>0</v>
      </c>
      <c r="AD83" s="2079">
        <v>0</v>
      </c>
      <c r="AE83" s="386" t="s">
        <v>1331</v>
      </c>
      <c r="AF83" s="380" t="s">
        <v>535</v>
      </c>
      <c r="AG83" s="703" t="s">
        <v>523</v>
      </c>
      <c r="AH83" s="704" t="s">
        <v>514</v>
      </c>
      <c r="AI83" s="703" t="s">
        <v>514</v>
      </c>
    </row>
    <row r="84" spans="1:35" ht="26.25" thickBot="1" x14ac:dyDescent="0.3">
      <c r="A84" s="156" t="s">
        <v>518</v>
      </c>
      <c r="B84" s="187" t="s">
        <v>494</v>
      </c>
      <c r="C84" s="54">
        <v>2019</v>
      </c>
      <c r="D84" s="54" t="s">
        <v>568</v>
      </c>
      <c r="E84" s="89" t="s">
        <v>65</v>
      </c>
      <c r="F84" s="89" t="s">
        <v>65</v>
      </c>
      <c r="G84" s="475" t="s">
        <v>519</v>
      </c>
      <c r="H84" s="158">
        <v>500</v>
      </c>
      <c r="I84" s="158">
        <v>0</v>
      </c>
      <c r="J84" s="130">
        <v>0</v>
      </c>
      <c r="K84" s="1253">
        <v>0</v>
      </c>
      <c r="L84" s="1250">
        <v>0</v>
      </c>
      <c r="M84" s="1250">
        <v>0</v>
      </c>
      <c r="N84" s="719">
        <v>0</v>
      </c>
      <c r="O84" s="185">
        <v>0</v>
      </c>
      <c r="P84" s="279">
        <v>0</v>
      </c>
      <c r="Q84" s="185">
        <v>0</v>
      </c>
      <c r="R84" s="1264">
        <v>0</v>
      </c>
      <c r="S84" s="1265">
        <v>0</v>
      </c>
      <c r="T84" s="1264">
        <f t="shared" si="10"/>
        <v>0</v>
      </c>
      <c r="U84" s="719">
        <v>0</v>
      </c>
      <c r="V84" s="316">
        <v>0</v>
      </c>
      <c r="W84" s="316">
        <v>0</v>
      </c>
      <c r="X84" s="185">
        <v>0</v>
      </c>
      <c r="Y84" s="8">
        <v>0</v>
      </c>
      <c r="Z84" s="8">
        <v>500</v>
      </c>
      <c r="AA84" s="159">
        <v>0</v>
      </c>
      <c r="AB84" s="316">
        <v>0</v>
      </c>
      <c r="AC84" s="185">
        <v>0</v>
      </c>
      <c r="AD84" s="2080">
        <v>0</v>
      </c>
      <c r="AE84" s="304" t="s">
        <v>484</v>
      </c>
      <c r="AF84" s="55" t="s">
        <v>19</v>
      </c>
      <c r="AG84" s="708" t="s">
        <v>962</v>
      </c>
      <c r="AH84" s="195" t="s">
        <v>513</v>
      </c>
      <c r="AI84" s="186" t="s">
        <v>513</v>
      </c>
    </row>
    <row r="85" spans="1:35" ht="25.5" x14ac:dyDescent="0.25">
      <c r="A85" s="1001" t="s">
        <v>752</v>
      </c>
      <c r="B85" s="1101" t="s">
        <v>494</v>
      </c>
      <c r="C85" s="453">
        <v>2019</v>
      </c>
      <c r="D85" s="453" t="s">
        <v>989</v>
      </c>
      <c r="E85" s="1095" t="s">
        <v>62</v>
      </c>
      <c r="F85" s="1095" t="s">
        <v>494</v>
      </c>
      <c r="G85" s="1228" t="s">
        <v>733</v>
      </c>
      <c r="H85" s="809">
        <v>16180</v>
      </c>
      <c r="I85" s="543">
        <v>0</v>
      </c>
      <c r="J85" s="544">
        <v>0</v>
      </c>
      <c r="K85" s="1901">
        <v>0</v>
      </c>
      <c r="L85" s="1595">
        <v>0</v>
      </c>
      <c r="M85" s="1594">
        <v>0</v>
      </c>
      <c r="N85" s="906">
        <v>0</v>
      </c>
      <c r="O85" s="586">
        <v>0</v>
      </c>
      <c r="P85" s="907">
        <v>0</v>
      </c>
      <c r="Q85" s="586">
        <v>0</v>
      </c>
      <c r="R85" s="1468">
        <v>500</v>
      </c>
      <c r="S85" s="1469">
        <v>-500</v>
      </c>
      <c r="T85" s="1468">
        <f t="shared" si="10"/>
        <v>0</v>
      </c>
      <c r="U85" s="906">
        <v>0</v>
      </c>
      <c r="V85" s="907">
        <v>0</v>
      </c>
      <c r="W85" s="907">
        <v>500</v>
      </c>
      <c r="X85" s="586">
        <v>0</v>
      </c>
      <c r="Y85" s="579">
        <v>500</v>
      </c>
      <c r="Z85" s="579">
        <v>15680</v>
      </c>
      <c r="AA85" s="553">
        <v>0</v>
      </c>
      <c r="AB85" s="907">
        <v>0</v>
      </c>
      <c r="AC85" s="1596">
        <v>0</v>
      </c>
      <c r="AD85" s="1737">
        <v>0</v>
      </c>
      <c r="AE85" s="735" t="s">
        <v>1332</v>
      </c>
      <c r="AF85" s="453" t="s">
        <v>13</v>
      </c>
      <c r="AG85" s="1597" t="s">
        <v>1010</v>
      </c>
      <c r="AH85" s="1047" t="s">
        <v>513</v>
      </c>
      <c r="AI85" s="1048" t="s">
        <v>513</v>
      </c>
    </row>
    <row r="86" spans="1:35" ht="51" x14ac:dyDescent="0.25">
      <c r="A86" s="1165" t="s">
        <v>753</v>
      </c>
      <c r="B86" s="1161" t="s">
        <v>1457</v>
      </c>
      <c r="C86" s="470">
        <v>2019</v>
      </c>
      <c r="D86" s="1166" t="s">
        <v>989</v>
      </c>
      <c r="E86" s="986" t="s">
        <v>62</v>
      </c>
      <c r="F86" s="986" t="s">
        <v>62</v>
      </c>
      <c r="G86" s="937" t="s">
        <v>734</v>
      </c>
      <c r="H86" s="812">
        <v>37223</v>
      </c>
      <c r="I86" s="558">
        <v>0</v>
      </c>
      <c r="J86" s="985">
        <v>0</v>
      </c>
      <c r="K86" s="1914">
        <v>0</v>
      </c>
      <c r="L86" s="1575">
        <v>17105.98805</v>
      </c>
      <c r="M86" s="1574">
        <v>0</v>
      </c>
      <c r="N86" s="940">
        <v>0</v>
      </c>
      <c r="O86" s="560">
        <v>0</v>
      </c>
      <c r="P86" s="941">
        <v>0</v>
      </c>
      <c r="Q86" s="560">
        <v>0</v>
      </c>
      <c r="R86" s="1481">
        <v>30634</v>
      </c>
      <c r="S86" s="1482">
        <v>-30634</v>
      </c>
      <c r="T86" s="1481">
        <f t="shared" si="10"/>
        <v>0</v>
      </c>
      <c r="U86" s="940">
        <v>34810</v>
      </c>
      <c r="V86" s="941">
        <v>0</v>
      </c>
      <c r="W86" s="941">
        <v>604</v>
      </c>
      <c r="X86" s="560">
        <v>0</v>
      </c>
      <c r="Y86" s="587">
        <v>35414</v>
      </c>
      <c r="Z86" s="587">
        <v>1809</v>
      </c>
      <c r="AA86" s="559">
        <v>0</v>
      </c>
      <c r="AB86" s="941">
        <v>0</v>
      </c>
      <c r="AC86" s="560">
        <v>0</v>
      </c>
      <c r="AD86" s="1481">
        <v>0</v>
      </c>
      <c r="AE86" s="573" t="s">
        <v>1333</v>
      </c>
      <c r="AF86" s="470" t="s">
        <v>43</v>
      </c>
      <c r="AG86" s="1598" t="s">
        <v>610</v>
      </c>
      <c r="AH86" s="1164" t="s">
        <v>514</v>
      </c>
      <c r="AI86" s="1167" t="s">
        <v>514</v>
      </c>
    </row>
    <row r="87" spans="1:35" ht="30" x14ac:dyDescent="0.25">
      <c r="A87" s="993" t="s">
        <v>754</v>
      </c>
      <c r="B87" s="945" t="s">
        <v>1456</v>
      </c>
      <c r="C87" s="454">
        <v>2019</v>
      </c>
      <c r="D87" s="453" t="s">
        <v>989</v>
      </c>
      <c r="E87" s="576" t="s">
        <v>62</v>
      </c>
      <c r="F87" s="576" t="s">
        <v>62</v>
      </c>
      <c r="G87" s="1027" t="s">
        <v>735</v>
      </c>
      <c r="H87" s="1183">
        <v>80000</v>
      </c>
      <c r="I87" s="551">
        <v>0</v>
      </c>
      <c r="J87" s="552">
        <v>0</v>
      </c>
      <c r="K87" s="1901">
        <v>1624.425</v>
      </c>
      <c r="L87" s="1539">
        <f>60.5+257.125</f>
        <v>317.625</v>
      </c>
      <c r="M87" s="1538">
        <v>0</v>
      </c>
      <c r="N87" s="919">
        <v>0</v>
      </c>
      <c r="O87" s="1096">
        <v>0</v>
      </c>
      <c r="P87" s="920">
        <f>1500+124.425</f>
        <v>1624.425</v>
      </c>
      <c r="Q87" s="547">
        <f>1500-124.425</f>
        <v>1375.575</v>
      </c>
      <c r="R87" s="1449">
        <v>15000</v>
      </c>
      <c r="S87" s="1450">
        <v>-12000</v>
      </c>
      <c r="T87" s="1449">
        <f t="shared" si="10"/>
        <v>3000</v>
      </c>
      <c r="U87" s="919">
        <v>5000</v>
      </c>
      <c r="V87" s="920">
        <v>0</v>
      </c>
      <c r="W87" s="920">
        <v>0</v>
      </c>
      <c r="X87" s="547">
        <v>10000</v>
      </c>
      <c r="Y87" s="578">
        <v>15000</v>
      </c>
      <c r="Z87" s="578">
        <v>62000</v>
      </c>
      <c r="AA87" s="556">
        <v>0</v>
      </c>
      <c r="AB87" s="920">
        <v>0</v>
      </c>
      <c r="AC87" s="547">
        <v>0</v>
      </c>
      <c r="AD87" s="1468">
        <v>0</v>
      </c>
      <c r="AE87" s="574" t="s">
        <v>1334</v>
      </c>
      <c r="AF87" s="454" t="s">
        <v>43</v>
      </c>
      <c r="AG87" s="1131" t="s">
        <v>962</v>
      </c>
      <c r="AH87" s="996" t="s">
        <v>514</v>
      </c>
      <c r="AI87" s="555" t="s">
        <v>514</v>
      </c>
    </row>
    <row r="88" spans="1:35" ht="30" x14ac:dyDescent="0.25">
      <c r="A88" s="993" t="s">
        <v>755</v>
      </c>
      <c r="B88" s="945" t="s">
        <v>1451</v>
      </c>
      <c r="C88" s="454">
        <v>2019</v>
      </c>
      <c r="D88" s="453" t="s">
        <v>989</v>
      </c>
      <c r="E88" s="576" t="s">
        <v>62</v>
      </c>
      <c r="F88" s="576" t="s">
        <v>62</v>
      </c>
      <c r="G88" s="1027" t="s">
        <v>736</v>
      </c>
      <c r="H88" s="1183">
        <v>5174</v>
      </c>
      <c r="I88" s="551">
        <v>0</v>
      </c>
      <c r="J88" s="552">
        <v>0</v>
      </c>
      <c r="K88" s="1901">
        <v>2872.7174599999998</v>
      </c>
      <c r="L88" s="1539">
        <v>581.89189999999996</v>
      </c>
      <c r="M88" s="1538">
        <v>0</v>
      </c>
      <c r="N88" s="919">
        <v>0</v>
      </c>
      <c r="O88" s="547">
        <v>0</v>
      </c>
      <c r="P88" s="920">
        <f>1000+1872.71746</f>
        <v>2872.7174599999998</v>
      </c>
      <c r="Q88" s="547">
        <f>2384-1872.71746</f>
        <v>511.28253999999993</v>
      </c>
      <c r="R88" s="1449">
        <v>4174</v>
      </c>
      <c r="S88" s="1450">
        <v>-790</v>
      </c>
      <c r="T88" s="1449">
        <f t="shared" si="10"/>
        <v>3384</v>
      </c>
      <c r="U88" s="919">
        <v>1000</v>
      </c>
      <c r="V88" s="920">
        <v>790</v>
      </c>
      <c r="W88" s="920">
        <v>0</v>
      </c>
      <c r="X88" s="547">
        <v>0</v>
      </c>
      <c r="Y88" s="1129">
        <v>1790</v>
      </c>
      <c r="Z88" s="578">
        <v>0</v>
      </c>
      <c r="AA88" s="556">
        <v>0</v>
      </c>
      <c r="AB88" s="920">
        <v>0</v>
      </c>
      <c r="AC88" s="547">
        <v>0</v>
      </c>
      <c r="AD88" s="1468">
        <v>0</v>
      </c>
      <c r="AE88" s="574" t="s">
        <v>1335</v>
      </c>
      <c r="AF88" s="454" t="s">
        <v>43</v>
      </c>
      <c r="AG88" s="1131" t="s">
        <v>1005</v>
      </c>
      <c r="AH88" s="996" t="s">
        <v>514</v>
      </c>
      <c r="AI88" s="555" t="s">
        <v>514</v>
      </c>
    </row>
    <row r="89" spans="1:35" s="391" customFormat="1" ht="25.5" x14ac:dyDescent="0.25">
      <c r="A89" s="987" t="s">
        <v>756</v>
      </c>
      <c r="B89" s="988" t="s">
        <v>494</v>
      </c>
      <c r="C89" s="298">
        <v>2019</v>
      </c>
      <c r="D89" s="414" t="s">
        <v>989</v>
      </c>
      <c r="E89" s="407" t="s">
        <v>62</v>
      </c>
      <c r="F89" s="407" t="s">
        <v>62</v>
      </c>
      <c r="G89" s="1024" t="s">
        <v>737</v>
      </c>
      <c r="H89" s="377">
        <v>12372</v>
      </c>
      <c r="I89" s="300">
        <v>0</v>
      </c>
      <c r="J89" s="299">
        <v>0</v>
      </c>
      <c r="K89" s="1916">
        <v>0</v>
      </c>
      <c r="L89" s="1545">
        <v>0</v>
      </c>
      <c r="M89" s="1544">
        <v>0</v>
      </c>
      <c r="N89" s="927">
        <v>0</v>
      </c>
      <c r="O89" s="528">
        <v>0</v>
      </c>
      <c r="P89" s="527">
        <v>0</v>
      </c>
      <c r="Q89" s="528">
        <v>0</v>
      </c>
      <c r="R89" s="1546">
        <v>0</v>
      </c>
      <c r="S89" s="1547">
        <v>0</v>
      </c>
      <c r="T89" s="1546">
        <f t="shared" si="10"/>
        <v>0</v>
      </c>
      <c r="U89" s="850">
        <v>5357</v>
      </c>
      <c r="V89" s="201">
        <v>0</v>
      </c>
      <c r="W89" s="201">
        <v>0</v>
      </c>
      <c r="X89" s="29">
        <v>0</v>
      </c>
      <c r="Y89" s="395">
        <v>5357</v>
      </c>
      <c r="Z89" s="395">
        <v>0</v>
      </c>
      <c r="AA89" s="33">
        <v>0</v>
      </c>
      <c r="AB89" s="201">
        <v>7015</v>
      </c>
      <c r="AC89" s="29">
        <v>0</v>
      </c>
      <c r="AD89" s="1231">
        <v>0</v>
      </c>
      <c r="AE89" s="282" t="s">
        <v>1336</v>
      </c>
      <c r="AF89" s="298" t="s">
        <v>43</v>
      </c>
      <c r="AG89" s="1121" t="s">
        <v>616</v>
      </c>
      <c r="AH89" s="991" t="s">
        <v>514</v>
      </c>
      <c r="AI89" s="992" t="s">
        <v>514</v>
      </c>
    </row>
    <row r="90" spans="1:35" ht="25.5" x14ac:dyDescent="0.3">
      <c r="A90" s="62" t="s">
        <v>757</v>
      </c>
      <c r="B90" s="85" t="s">
        <v>494</v>
      </c>
      <c r="C90" s="5">
        <v>2019</v>
      </c>
      <c r="D90" s="4" t="s">
        <v>989</v>
      </c>
      <c r="E90" s="63" t="s">
        <v>62</v>
      </c>
      <c r="F90" s="63" t="s">
        <v>62</v>
      </c>
      <c r="G90" s="417" t="s">
        <v>738</v>
      </c>
      <c r="H90" s="377">
        <v>69900</v>
      </c>
      <c r="I90" s="16">
        <v>0</v>
      </c>
      <c r="J90" s="24">
        <v>0</v>
      </c>
      <c r="K90" s="412">
        <v>0</v>
      </c>
      <c r="L90" s="1252">
        <v>0</v>
      </c>
      <c r="M90" s="1251">
        <v>0</v>
      </c>
      <c r="N90" s="850">
        <v>0</v>
      </c>
      <c r="O90" s="29">
        <v>0</v>
      </c>
      <c r="P90" s="201">
        <v>0</v>
      </c>
      <c r="Q90" s="29">
        <v>0</v>
      </c>
      <c r="R90" s="1268">
        <v>0</v>
      </c>
      <c r="S90" s="1269">
        <v>0</v>
      </c>
      <c r="T90" s="1268">
        <f t="shared" si="10"/>
        <v>0</v>
      </c>
      <c r="U90" s="850">
        <v>0</v>
      </c>
      <c r="V90" s="201">
        <v>10000</v>
      </c>
      <c r="W90" s="201">
        <v>21981</v>
      </c>
      <c r="X90" s="29">
        <v>0</v>
      </c>
      <c r="Y90" s="395">
        <v>31981</v>
      </c>
      <c r="Z90" s="18">
        <v>26385</v>
      </c>
      <c r="AA90" s="33">
        <v>11534</v>
      </c>
      <c r="AB90" s="201">
        <v>0</v>
      </c>
      <c r="AC90" s="29">
        <v>0</v>
      </c>
      <c r="AD90" s="1891">
        <v>13070</v>
      </c>
      <c r="AE90" s="1890" t="s">
        <v>1448</v>
      </c>
      <c r="AF90" s="5" t="s">
        <v>19</v>
      </c>
      <c r="AG90" s="246" t="s">
        <v>1006</v>
      </c>
      <c r="AH90" s="193" t="s">
        <v>513</v>
      </c>
      <c r="AI90" s="104" t="s">
        <v>513</v>
      </c>
    </row>
    <row r="91" spans="1:35" ht="25.5" x14ac:dyDescent="0.25">
      <c r="A91" s="62" t="s">
        <v>758</v>
      </c>
      <c r="B91" s="85" t="s">
        <v>494</v>
      </c>
      <c r="C91" s="5">
        <v>2019</v>
      </c>
      <c r="D91" s="4" t="s">
        <v>989</v>
      </c>
      <c r="E91" s="63" t="s">
        <v>62</v>
      </c>
      <c r="F91" s="63" t="s">
        <v>62</v>
      </c>
      <c r="G91" s="417" t="s">
        <v>902</v>
      </c>
      <c r="H91" s="12">
        <v>21000</v>
      </c>
      <c r="I91" s="16">
        <v>0</v>
      </c>
      <c r="J91" s="24">
        <v>0</v>
      </c>
      <c r="K91" s="412">
        <v>0</v>
      </c>
      <c r="L91" s="1252">
        <v>0</v>
      </c>
      <c r="M91" s="1251">
        <v>0</v>
      </c>
      <c r="N91" s="850">
        <v>0</v>
      </c>
      <c r="O91" s="29">
        <v>0</v>
      </c>
      <c r="P91" s="201">
        <v>0</v>
      </c>
      <c r="Q91" s="29">
        <v>0</v>
      </c>
      <c r="R91" s="1268">
        <v>0</v>
      </c>
      <c r="S91" s="1269">
        <v>0</v>
      </c>
      <c r="T91" s="1268">
        <f t="shared" si="10"/>
        <v>0</v>
      </c>
      <c r="U91" s="850">
        <v>0</v>
      </c>
      <c r="V91" s="201">
        <v>6000</v>
      </c>
      <c r="W91" s="201">
        <v>15000</v>
      </c>
      <c r="X91" s="29">
        <v>0</v>
      </c>
      <c r="Y91" s="395">
        <v>21000</v>
      </c>
      <c r="Z91" s="18">
        <v>0</v>
      </c>
      <c r="AA91" s="33">
        <v>0</v>
      </c>
      <c r="AB91" s="201">
        <v>0</v>
      </c>
      <c r="AC91" s="29">
        <v>0</v>
      </c>
      <c r="AD91" s="2073">
        <v>0</v>
      </c>
      <c r="AE91" s="52" t="s">
        <v>484</v>
      </c>
      <c r="AF91" s="5" t="s">
        <v>43</v>
      </c>
      <c r="AG91" s="246" t="s">
        <v>1006</v>
      </c>
      <c r="AH91" s="193" t="s">
        <v>514</v>
      </c>
      <c r="AI91" s="104" t="s">
        <v>514</v>
      </c>
    </row>
    <row r="92" spans="1:35" s="388" customFormat="1" ht="25.5" x14ac:dyDescent="0.25">
      <c r="A92" s="127" t="s">
        <v>759</v>
      </c>
      <c r="B92" s="114" t="s">
        <v>1173</v>
      </c>
      <c r="C92" s="66">
        <v>2019</v>
      </c>
      <c r="D92" s="73" t="s">
        <v>989</v>
      </c>
      <c r="E92" s="67" t="s">
        <v>62</v>
      </c>
      <c r="F92" s="67" t="s">
        <v>62</v>
      </c>
      <c r="G92" s="145" t="s">
        <v>739</v>
      </c>
      <c r="H92" s="301">
        <v>0</v>
      </c>
      <c r="I92" s="21">
        <v>0</v>
      </c>
      <c r="J92" s="36">
        <v>0</v>
      </c>
      <c r="K92" s="1994">
        <v>0</v>
      </c>
      <c r="L92" s="1256">
        <v>0</v>
      </c>
      <c r="M92" s="1255">
        <v>0</v>
      </c>
      <c r="N92" s="269">
        <v>0</v>
      </c>
      <c r="O92" s="38">
        <v>0</v>
      </c>
      <c r="P92" s="207">
        <v>0</v>
      </c>
      <c r="Q92" s="38">
        <v>0</v>
      </c>
      <c r="R92" s="1550">
        <v>0</v>
      </c>
      <c r="S92" s="494">
        <v>0</v>
      </c>
      <c r="T92" s="1550">
        <f t="shared" si="10"/>
        <v>0</v>
      </c>
      <c r="U92" s="269">
        <v>0</v>
      </c>
      <c r="V92" s="207">
        <v>0</v>
      </c>
      <c r="W92" s="207">
        <v>0</v>
      </c>
      <c r="X92" s="38">
        <v>0</v>
      </c>
      <c r="Y92" s="109">
        <v>0</v>
      </c>
      <c r="Z92" s="23">
        <v>0</v>
      </c>
      <c r="AA92" s="34">
        <v>0</v>
      </c>
      <c r="AB92" s="207">
        <v>0</v>
      </c>
      <c r="AC92" s="38">
        <v>0</v>
      </c>
      <c r="AD92" s="208">
        <v>0</v>
      </c>
      <c r="AE92" s="113" t="s">
        <v>1462</v>
      </c>
      <c r="AF92" s="66" t="s">
        <v>516</v>
      </c>
      <c r="AG92" s="318" t="s">
        <v>541</v>
      </c>
      <c r="AH92" s="210" t="s">
        <v>514</v>
      </c>
      <c r="AI92" s="65" t="s">
        <v>513</v>
      </c>
    </row>
    <row r="93" spans="1:35" s="391" customFormat="1" ht="30" x14ac:dyDescent="0.25">
      <c r="A93" s="993" t="s">
        <v>760</v>
      </c>
      <c r="B93" s="945" t="s">
        <v>1105</v>
      </c>
      <c r="C93" s="454">
        <v>2019</v>
      </c>
      <c r="D93" s="453" t="s">
        <v>989</v>
      </c>
      <c r="E93" s="576" t="s">
        <v>62</v>
      </c>
      <c r="F93" s="576" t="s">
        <v>62</v>
      </c>
      <c r="G93" s="1027" t="s">
        <v>740</v>
      </c>
      <c r="H93" s="1183">
        <v>11948</v>
      </c>
      <c r="I93" s="551">
        <v>0</v>
      </c>
      <c r="J93" s="552">
        <v>389.74108000000001</v>
      </c>
      <c r="K93" s="1901">
        <v>4249.65355</v>
      </c>
      <c r="L93" s="1539">
        <v>5086.5694599999997</v>
      </c>
      <c r="M93" s="1538">
        <v>0</v>
      </c>
      <c r="N93" s="919">
        <v>389.74108000000001</v>
      </c>
      <c r="O93" s="547">
        <v>0</v>
      </c>
      <c r="P93" s="920">
        <f>3000+1000-389.74108+639.39463</f>
        <v>4249.65355</v>
      </c>
      <c r="Q93" s="1128">
        <f>460+0.60537</f>
        <v>460.60536999999999</v>
      </c>
      <c r="R93" s="1449">
        <v>11948</v>
      </c>
      <c r="S93" s="1450">
        <v>-6848</v>
      </c>
      <c r="T93" s="1449">
        <f t="shared" si="10"/>
        <v>5100</v>
      </c>
      <c r="U93" s="919">
        <v>0</v>
      </c>
      <c r="V93" s="920">
        <v>6848</v>
      </c>
      <c r="W93" s="920">
        <v>0</v>
      </c>
      <c r="X93" s="547">
        <v>0</v>
      </c>
      <c r="Y93" s="1129">
        <v>6848</v>
      </c>
      <c r="Z93" s="578">
        <v>0</v>
      </c>
      <c r="AA93" s="556">
        <v>0</v>
      </c>
      <c r="AB93" s="920">
        <v>0</v>
      </c>
      <c r="AC93" s="547">
        <v>0</v>
      </c>
      <c r="AD93" s="1468">
        <v>0</v>
      </c>
      <c r="AE93" s="574" t="s">
        <v>1337</v>
      </c>
      <c r="AF93" s="454" t="s">
        <v>43</v>
      </c>
      <c r="AG93" s="1131" t="s">
        <v>836</v>
      </c>
      <c r="AH93" s="996" t="s">
        <v>514</v>
      </c>
      <c r="AI93" s="555" t="s">
        <v>514</v>
      </c>
    </row>
    <row r="94" spans="1:35" s="1912" customFormat="1" ht="25.5" x14ac:dyDescent="0.25">
      <c r="A94" s="127" t="s">
        <v>761</v>
      </c>
      <c r="B94" s="114" t="s">
        <v>494</v>
      </c>
      <c r="C94" s="66">
        <v>2019</v>
      </c>
      <c r="D94" s="73" t="s">
        <v>989</v>
      </c>
      <c r="E94" s="67" t="s">
        <v>62</v>
      </c>
      <c r="F94" s="67" t="s">
        <v>62</v>
      </c>
      <c r="G94" s="145" t="s">
        <v>741</v>
      </c>
      <c r="H94" s="301">
        <v>0</v>
      </c>
      <c r="I94" s="21">
        <v>0</v>
      </c>
      <c r="J94" s="36">
        <v>0</v>
      </c>
      <c r="K94" s="1994">
        <v>0</v>
      </c>
      <c r="L94" s="1256">
        <v>0</v>
      </c>
      <c r="M94" s="1255">
        <v>0</v>
      </c>
      <c r="N94" s="269">
        <v>0</v>
      </c>
      <c r="O94" s="38">
        <v>0</v>
      </c>
      <c r="P94" s="207">
        <v>0</v>
      </c>
      <c r="Q94" s="38">
        <v>0</v>
      </c>
      <c r="R94" s="1550">
        <v>8000</v>
      </c>
      <c r="S94" s="494">
        <v>-8000</v>
      </c>
      <c r="T94" s="1550">
        <f t="shared" si="10"/>
        <v>0</v>
      </c>
      <c r="U94" s="269">
        <v>0</v>
      </c>
      <c r="V94" s="207">
        <v>0</v>
      </c>
      <c r="W94" s="207">
        <v>0</v>
      </c>
      <c r="X94" s="392">
        <v>0</v>
      </c>
      <c r="Y94" s="109">
        <v>0</v>
      </c>
      <c r="Z94" s="23">
        <v>0</v>
      </c>
      <c r="AA94" s="34">
        <v>0</v>
      </c>
      <c r="AB94" s="207">
        <v>0</v>
      </c>
      <c r="AC94" s="38">
        <v>0</v>
      </c>
      <c r="AD94" s="2078">
        <v>0</v>
      </c>
      <c r="AE94" s="118" t="s">
        <v>1460</v>
      </c>
      <c r="AF94" s="66" t="s">
        <v>516</v>
      </c>
      <c r="AG94" s="318" t="s">
        <v>904</v>
      </c>
      <c r="AH94" s="210" t="s">
        <v>514</v>
      </c>
      <c r="AI94" s="65" t="s">
        <v>513</v>
      </c>
    </row>
    <row r="95" spans="1:35" s="391" customFormat="1" ht="25.5" x14ac:dyDescent="0.25">
      <c r="A95" s="62" t="s">
        <v>762</v>
      </c>
      <c r="B95" s="85" t="s">
        <v>494</v>
      </c>
      <c r="C95" s="5">
        <v>2019</v>
      </c>
      <c r="D95" s="4" t="s">
        <v>989</v>
      </c>
      <c r="E95" s="63" t="s">
        <v>62</v>
      </c>
      <c r="F95" s="63" t="s">
        <v>62</v>
      </c>
      <c r="G95" s="417" t="s">
        <v>742</v>
      </c>
      <c r="H95" s="12">
        <v>9478</v>
      </c>
      <c r="I95" s="16">
        <v>0</v>
      </c>
      <c r="J95" s="24">
        <v>0</v>
      </c>
      <c r="K95" s="412">
        <v>0</v>
      </c>
      <c r="L95" s="1252">
        <v>0</v>
      </c>
      <c r="M95" s="1251">
        <v>0</v>
      </c>
      <c r="N95" s="850">
        <v>0</v>
      </c>
      <c r="O95" s="29">
        <v>0</v>
      </c>
      <c r="P95" s="201">
        <v>0</v>
      </c>
      <c r="Q95" s="29">
        <v>0</v>
      </c>
      <c r="R95" s="1268">
        <v>0</v>
      </c>
      <c r="S95" s="1269">
        <v>0</v>
      </c>
      <c r="T95" s="1268">
        <f t="shared" si="10"/>
        <v>0</v>
      </c>
      <c r="U95" s="850">
        <v>0</v>
      </c>
      <c r="V95" s="201">
        <v>0</v>
      </c>
      <c r="W95" s="201">
        <v>0</v>
      </c>
      <c r="X95" s="422">
        <v>0</v>
      </c>
      <c r="Y95" s="395">
        <v>0</v>
      </c>
      <c r="Z95" s="395">
        <v>9478</v>
      </c>
      <c r="AA95" s="33">
        <v>0</v>
      </c>
      <c r="AB95" s="201">
        <v>0</v>
      </c>
      <c r="AC95" s="29">
        <v>0</v>
      </c>
      <c r="AD95" s="2073">
        <v>0</v>
      </c>
      <c r="AE95" s="52"/>
      <c r="AF95" s="5" t="s">
        <v>19</v>
      </c>
      <c r="AG95" s="246" t="s">
        <v>1327</v>
      </c>
      <c r="AH95" s="193" t="s">
        <v>513</v>
      </c>
      <c r="AI95" s="104" t="s">
        <v>513</v>
      </c>
    </row>
    <row r="96" spans="1:35" ht="30" x14ac:dyDescent="0.25">
      <c r="A96" s="62" t="s">
        <v>763</v>
      </c>
      <c r="B96" s="85" t="s">
        <v>494</v>
      </c>
      <c r="C96" s="5">
        <v>2019</v>
      </c>
      <c r="D96" s="4" t="s">
        <v>989</v>
      </c>
      <c r="E96" s="63" t="s">
        <v>62</v>
      </c>
      <c r="F96" s="63" t="s">
        <v>62</v>
      </c>
      <c r="G96" s="417" t="s">
        <v>743</v>
      </c>
      <c r="H96" s="12">
        <v>15816.711950000001</v>
      </c>
      <c r="I96" s="16">
        <v>0</v>
      </c>
      <c r="J96" s="24">
        <v>0</v>
      </c>
      <c r="K96" s="412">
        <v>0</v>
      </c>
      <c r="L96" s="1252">
        <v>0</v>
      </c>
      <c r="M96" s="1251">
        <v>0</v>
      </c>
      <c r="N96" s="850">
        <v>0</v>
      </c>
      <c r="O96" s="29">
        <v>0</v>
      </c>
      <c r="P96" s="201">
        <v>0</v>
      </c>
      <c r="Q96" s="29">
        <v>0</v>
      </c>
      <c r="R96" s="1268">
        <v>0</v>
      </c>
      <c r="S96" s="1269">
        <v>0</v>
      </c>
      <c r="T96" s="1268">
        <f t="shared" si="10"/>
        <v>0</v>
      </c>
      <c r="U96" s="850">
        <v>0</v>
      </c>
      <c r="V96" s="201">
        <v>0</v>
      </c>
      <c r="W96" s="201">
        <v>0</v>
      </c>
      <c r="X96" s="29">
        <v>0</v>
      </c>
      <c r="Y96" s="395">
        <v>0</v>
      </c>
      <c r="Z96" s="395">
        <v>15816.711950000001</v>
      </c>
      <c r="AA96" s="33">
        <v>0</v>
      </c>
      <c r="AB96" s="201">
        <v>0</v>
      </c>
      <c r="AC96" s="29">
        <v>0</v>
      </c>
      <c r="AD96" s="2073">
        <v>0</v>
      </c>
      <c r="AE96" s="52" t="s">
        <v>484</v>
      </c>
      <c r="AF96" s="5" t="s">
        <v>13</v>
      </c>
      <c r="AG96" s="246" t="s">
        <v>1327</v>
      </c>
      <c r="AH96" s="193" t="s">
        <v>514</v>
      </c>
      <c r="AI96" s="104" t="s">
        <v>514</v>
      </c>
    </row>
    <row r="97" spans="1:35" ht="25.5" x14ac:dyDescent="0.25">
      <c r="A97" s="62" t="s">
        <v>764</v>
      </c>
      <c r="B97" s="85" t="s">
        <v>494</v>
      </c>
      <c r="C97" s="5">
        <v>2019</v>
      </c>
      <c r="D97" s="4" t="s">
        <v>989</v>
      </c>
      <c r="E97" s="63" t="s">
        <v>62</v>
      </c>
      <c r="F97" s="63" t="s">
        <v>62</v>
      </c>
      <c r="G97" s="417" t="s">
        <v>744</v>
      </c>
      <c r="H97" s="12">
        <v>12100</v>
      </c>
      <c r="I97" s="16">
        <v>0</v>
      </c>
      <c r="J97" s="24">
        <v>0</v>
      </c>
      <c r="K97" s="412">
        <v>0</v>
      </c>
      <c r="L97" s="1252">
        <v>0</v>
      </c>
      <c r="M97" s="1251">
        <v>0</v>
      </c>
      <c r="N97" s="850">
        <v>0</v>
      </c>
      <c r="O97" s="29">
        <v>0</v>
      </c>
      <c r="P97" s="201">
        <v>0</v>
      </c>
      <c r="Q97" s="29">
        <v>0</v>
      </c>
      <c r="R97" s="1268">
        <v>0</v>
      </c>
      <c r="S97" s="1269">
        <v>0</v>
      </c>
      <c r="T97" s="1268">
        <f t="shared" si="10"/>
        <v>0</v>
      </c>
      <c r="U97" s="850">
        <v>0</v>
      </c>
      <c r="V97" s="201">
        <v>1000</v>
      </c>
      <c r="W97" s="201">
        <v>4000</v>
      </c>
      <c r="X97" s="29">
        <v>7100</v>
      </c>
      <c r="Y97" s="395">
        <v>12100</v>
      </c>
      <c r="Z97" s="18">
        <v>0</v>
      </c>
      <c r="AA97" s="33">
        <v>0</v>
      </c>
      <c r="AB97" s="201">
        <v>0</v>
      </c>
      <c r="AC97" s="29">
        <v>0</v>
      </c>
      <c r="AD97" s="1231">
        <v>0</v>
      </c>
      <c r="AE97" s="119" t="s">
        <v>484</v>
      </c>
      <c r="AF97" s="5" t="s">
        <v>13</v>
      </c>
      <c r="AG97" s="246" t="s">
        <v>1006</v>
      </c>
      <c r="AH97" s="193" t="s">
        <v>514</v>
      </c>
      <c r="AI97" s="104" t="s">
        <v>513</v>
      </c>
    </row>
    <row r="98" spans="1:35" s="1912" customFormat="1" ht="25.5" x14ac:dyDescent="0.25">
      <c r="A98" s="127" t="s">
        <v>765</v>
      </c>
      <c r="B98" s="114" t="s">
        <v>494</v>
      </c>
      <c r="C98" s="66">
        <v>2019</v>
      </c>
      <c r="D98" s="73" t="s">
        <v>989</v>
      </c>
      <c r="E98" s="67" t="s">
        <v>62</v>
      </c>
      <c r="F98" s="67" t="s">
        <v>62</v>
      </c>
      <c r="G98" s="145" t="s">
        <v>745</v>
      </c>
      <c r="H98" s="301">
        <v>0</v>
      </c>
      <c r="I98" s="21">
        <v>0</v>
      </c>
      <c r="J98" s="36">
        <v>0</v>
      </c>
      <c r="K98" s="1994">
        <v>0</v>
      </c>
      <c r="L98" s="1256">
        <v>0</v>
      </c>
      <c r="M98" s="1255">
        <v>0</v>
      </c>
      <c r="N98" s="269">
        <v>0</v>
      </c>
      <c r="O98" s="38">
        <v>0</v>
      </c>
      <c r="P98" s="207">
        <v>0</v>
      </c>
      <c r="Q98" s="38">
        <v>0</v>
      </c>
      <c r="R98" s="1550">
        <v>17990</v>
      </c>
      <c r="S98" s="494">
        <v>-17990</v>
      </c>
      <c r="T98" s="1550">
        <f t="shared" si="10"/>
        <v>0</v>
      </c>
      <c r="U98" s="269">
        <v>0</v>
      </c>
      <c r="V98" s="207">
        <v>0</v>
      </c>
      <c r="W98" s="207">
        <v>0</v>
      </c>
      <c r="X98" s="38">
        <v>0</v>
      </c>
      <c r="Y98" s="109">
        <v>0</v>
      </c>
      <c r="Z98" s="23">
        <v>0</v>
      </c>
      <c r="AA98" s="34">
        <v>0</v>
      </c>
      <c r="AB98" s="207">
        <v>0</v>
      </c>
      <c r="AC98" s="38">
        <v>0</v>
      </c>
      <c r="AD98" s="2078">
        <v>0</v>
      </c>
      <c r="AE98" s="118" t="s">
        <v>1460</v>
      </c>
      <c r="AF98" s="66" t="s">
        <v>516</v>
      </c>
      <c r="AG98" s="318" t="s">
        <v>1006</v>
      </c>
      <c r="AH98" s="210" t="s">
        <v>514</v>
      </c>
      <c r="AI98" s="65" t="s">
        <v>514</v>
      </c>
    </row>
    <row r="99" spans="1:35" ht="25.5" x14ac:dyDescent="0.25">
      <c r="A99" s="62" t="s">
        <v>766</v>
      </c>
      <c r="B99" s="85" t="s">
        <v>494</v>
      </c>
      <c r="C99" s="5">
        <v>2019</v>
      </c>
      <c r="D99" s="4" t="s">
        <v>989</v>
      </c>
      <c r="E99" s="63" t="s">
        <v>62</v>
      </c>
      <c r="F99" s="63" t="s">
        <v>62</v>
      </c>
      <c r="G99" s="417" t="s">
        <v>746</v>
      </c>
      <c r="H99" s="12">
        <v>33880</v>
      </c>
      <c r="I99" s="16">
        <v>0</v>
      </c>
      <c r="J99" s="24">
        <v>0</v>
      </c>
      <c r="K99" s="412">
        <v>0</v>
      </c>
      <c r="L99" s="1252">
        <v>0</v>
      </c>
      <c r="M99" s="1251">
        <v>0</v>
      </c>
      <c r="N99" s="850">
        <v>0</v>
      </c>
      <c r="O99" s="29">
        <v>0</v>
      </c>
      <c r="P99" s="201">
        <v>0</v>
      </c>
      <c r="Q99" s="29">
        <v>0</v>
      </c>
      <c r="R99" s="1268">
        <v>0</v>
      </c>
      <c r="S99" s="1269">
        <v>0</v>
      </c>
      <c r="T99" s="1268">
        <f t="shared" si="10"/>
        <v>0</v>
      </c>
      <c r="U99" s="850">
        <v>0</v>
      </c>
      <c r="V99" s="201">
        <v>0</v>
      </c>
      <c r="W99" s="201">
        <v>0</v>
      </c>
      <c r="X99" s="422">
        <v>10000</v>
      </c>
      <c r="Y99" s="395">
        <v>10000</v>
      </c>
      <c r="Z99" s="18">
        <v>23880</v>
      </c>
      <c r="AA99" s="33">
        <v>0</v>
      </c>
      <c r="AB99" s="201">
        <v>0</v>
      </c>
      <c r="AC99" s="29">
        <v>0</v>
      </c>
      <c r="AD99" s="1231">
        <v>0</v>
      </c>
      <c r="AE99" s="119" t="s">
        <v>484</v>
      </c>
      <c r="AF99" s="5" t="s">
        <v>19</v>
      </c>
      <c r="AG99" s="246" t="s">
        <v>1327</v>
      </c>
      <c r="AH99" s="193" t="s">
        <v>513</v>
      </c>
      <c r="AI99" s="104" t="s">
        <v>513</v>
      </c>
    </row>
    <row r="100" spans="1:35" ht="25.5" x14ac:dyDescent="0.25">
      <c r="A100" s="62" t="s">
        <v>767</v>
      </c>
      <c r="B100" s="85" t="s">
        <v>494</v>
      </c>
      <c r="C100" s="5">
        <v>2019</v>
      </c>
      <c r="D100" s="4" t="s">
        <v>989</v>
      </c>
      <c r="E100" s="63" t="s">
        <v>62</v>
      </c>
      <c r="F100" s="63" t="s">
        <v>62</v>
      </c>
      <c r="G100" s="417" t="s">
        <v>747</v>
      </c>
      <c r="H100" s="12">
        <v>6338.78</v>
      </c>
      <c r="I100" s="16">
        <v>0</v>
      </c>
      <c r="J100" s="24">
        <v>0</v>
      </c>
      <c r="K100" s="412">
        <v>0</v>
      </c>
      <c r="L100" s="1252">
        <v>0</v>
      </c>
      <c r="M100" s="1251">
        <v>0</v>
      </c>
      <c r="N100" s="850">
        <v>0</v>
      </c>
      <c r="O100" s="29">
        <v>0</v>
      </c>
      <c r="P100" s="201">
        <v>0</v>
      </c>
      <c r="Q100" s="29">
        <v>0</v>
      </c>
      <c r="R100" s="1268">
        <v>0</v>
      </c>
      <c r="S100" s="1269">
        <v>0</v>
      </c>
      <c r="T100" s="1268">
        <f t="shared" si="10"/>
        <v>0</v>
      </c>
      <c r="U100" s="850">
        <v>0</v>
      </c>
      <c r="V100" s="201">
        <v>0</v>
      </c>
      <c r="W100" s="201">
        <v>0</v>
      </c>
      <c r="X100" s="422">
        <v>0</v>
      </c>
      <c r="Y100" s="395">
        <v>0</v>
      </c>
      <c r="Z100" s="395">
        <v>6338.78</v>
      </c>
      <c r="AA100" s="33">
        <v>0</v>
      </c>
      <c r="AB100" s="201">
        <v>0</v>
      </c>
      <c r="AC100" s="29">
        <v>0</v>
      </c>
      <c r="AD100" s="2073">
        <v>0</v>
      </c>
      <c r="AE100" s="52" t="s">
        <v>484</v>
      </c>
      <c r="AF100" s="5" t="s">
        <v>19</v>
      </c>
      <c r="AG100" s="246" t="s">
        <v>1327</v>
      </c>
      <c r="AH100" s="193" t="s">
        <v>513</v>
      </c>
      <c r="AI100" s="104" t="s">
        <v>513</v>
      </c>
    </row>
    <row r="101" spans="1:35" ht="26.25" thickBot="1" x14ac:dyDescent="0.3">
      <c r="A101" s="124" t="s">
        <v>768</v>
      </c>
      <c r="B101" s="126" t="s">
        <v>494</v>
      </c>
      <c r="C101" s="125">
        <v>2019</v>
      </c>
      <c r="D101" s="125" t="s">
        <v>989</v>
      </c>
      <c r="E101" s="86" t="s">
        <v>62</v>
      </c>
      <c r="F101" s="86" t="s">
        <v>62</v>
      </c>
      <c r="G101" s="429" t="s">
        <v>748</v>
      </c>
      <c r="H101" s="337">
        <v>41118</v>
      </c>
      <c r="I101" s="46">
        <v>0</v>
      </c>
      <c r="J101" s="46">
        <v>0</v>
      </c>
      <c r="K101" s="835">
        <v>0</v>
      </c>
      <c r="L101" s="835">
        <v>0</v>
      </c>
      <c r="M101" s="1537">
        <v>0</v>
      </c>
      <c r="N101" s="845">
        <v>0</v>
      </c>
      <c r="O101" s="98">
        <v>0</v>
      </c>
      <c r="P101" s="203">
        <v>0</v>
      </c>
      <c r="Q101" s="98">
        <v>0</v>
      </c>
      <c r="R101" s="1270">
        <v>0</v>
      </c>
      <c r="S101" s="1271">
        <v>0</v>
      </c>
      <c r="T101" s="1270">
        <f t="shared" si="10"/>
        <v>0</v>
      </c>
      <c r="U101" s="845">
        <v>0</v>
      </c>
      <c r="V101" s="203">
        <v>0</v>
      </c>
      <c r="W101" s="203">
        <v>9400</v>
      </c>
      <c r="X101" s="98">
        <v>0</v>
      </c>
      <c r="Y101" s="1111">
        <v>9400</v>
      </c>
      <c r="Z101" s="49">
        <v>31718</v>
      </c>
      <c r="AA101" s="48">
        <v>0</v>
      </c>
      <c r="AB101" s="203">
        <v>0</v>
      </c>
      <c r="AC101" s="98">
        <v>0</v>
      </c>
      <c r="AD101" s="1203">
        <v>0</v>
      </c>
      <c r="AE101" s="122" t="s">
        <v>1338</v>
      </c>
      <c r="AF101" s="125" t="s">
        <v>43</v>
      </c>
      <c r="AG101" s="430" t="s">
        <v>1174</v>
      </c>
      <c r="AH101" s="194" t="s">
        <v>514</v>
      </c>
      <c r="AI101" s="128" t="s">
        <v>513</v>
      </c>
    </row>
    <row r="102" spans="1:35" ht="30" x14ac:dyDescent="0.25">
      <c r="A102" s="1001" t="s">
        <v>773</v>
      </c>
      <c r="B102" s="1101" t="s">
        <v>1109</v>
      </c>
      <c r="C102" s="1074">
        <v>2019</v>
      </c>
      <c r="D102" s="550" t="s">
        <v>969</v>
      </c>
      <c r="E102" s="1071" t="s">
        <v>62</v>
      </c>
      <c r="F102" s="1095" t="s">
        <v>62</v>
      </c>
      <c r="G102" s="1224" t="s">
        <v>774</v>
      </c>
      <c r="H102" s="1207">
        <v>52239</v>
      </c>
      <c r="I102" s="543">
        <v>0</v>
      </c>
      <c r="J102" s="544">
        <v>447.7</v>
      </c>
      <c r="K102" s="1901">
        <v>0</v>
      </c>
      <c r="L102" s="1595">
        <v>163.35</v>
      </c>
      <c r="M102" s="1594">
        <v>0</v>
      </c>
      <c r="N102" s="906">
        <f>500-52.3</f>
        <v>447.7</v>
      </c>
      <c r="O102" s="586">
        <v>0</v>
      </c>
      <c r="P102" s="1604">
        <v>0</v>
      </c>
      <c r="Q102" s="1604">
        <f>305+0.3</f>
        <v>305.3</v>
      </c>
      <c r="R102" s="1468">
        <v>1000</v>
      </c>
      <c r="S102" s="1469">
        <v>-247</v>
      </c>
      <c r="T102" s="1468">
        <f t="shared" si="10"/>
        <v>753</v>
      </c>
      <c r="U102" s="906">
        <v>0</v>
      </c>
      <c r="V102" s="907">
        <v>247</v>
      </c>
      <c r="W102" s="907">
        <v>0</v>
      </c>
      <c r="X102" s="586">
        <v>0</v>
      </c>
      <c r="Y102" s="1605">
        <v>247</v>
      </c>
      <c r="Z102" s="579">
        <v>51239</v>
      </c>
      <c r="AA102" s="586">
        <v>0</v>
      </c>
      <c r="AB102" s="907">
        <v>0</v>
      </c>
      <c r="AC102" s="586">
        <v>0</v>
      </c>
      <c r="AD102" s="1468">
        <v>0</v>
      </c>
      <c r="AE102" s="735" t="s">
        <v>1413</v>
      </c>
      <c r="AF102" s="454" t="s">
        <v>13</v>
      </c>
      <c r="AG102" s="1597" t="s">
        <v>965</v>
      </c>
      <c r="AH102" s="1047" t="s">
        <v>514</v>
      </c>
      <c r="AI102" s="1048" t="s">
        <v>514</v>
      </c>
    </row>
    <row r="103" spans="1:35" ht="38.25" x14ac:dyDescent="0.25">
      <c r="A103" s="1165" t="s">
        <v>775</v>
      </c>
      <c r="B103" s="1161" t="s">
        <v>1108</v>
      </c>
      <c r="C103" s="592">
        <v>2019</v>
      </c>
      <c r="D103" s="470" t="s">
        <v>969</v>
      </c>
      <c r="E103" s="986" t="s">
        <v>62</v>
      </c>
      <c r="F103" s="986" t="s">
        <v>62</v>
      </c>
      <c r="G103" s="937" t="s">
        <v>776</v>
      </c>
      <c r="H103" s="558">
        <v>26055</v>
      </c>
      <c r="I103" s="558">
        <v>0</v>
      </c>
      <c r="J103" s="985">
        <v>412.61</v>
      </c>
      <c r="K103" s="1914">
        <v>0</v>
      </c>
      <c r="L103" s="1575">
        <v>527.197</v>
      </c>
      <c r="M103" s="1574">
        <v>0</v>
      </c>
      <c r="N103" s="940">
        <v>412.61</v>
      </c>
      <c r="O103" s="560">
        <v>0</v>
      </c>
      <c r="P103" s="941">
        <v>0</v>
      </c>
      <c r="Q103" s="560">
        <f>527+0.39</f>
        <v>527.39</v>
      </c>
      <c r="R103" s="1481">
        <v>16280</v>
      </c>
      <c r="S103" s="1482">
        <v>-15340</v>
      </c>
      <c r="T103" s="1481">
        <f t="shared" si="10"/>
        <v>940</v>
      </c>
      <c r="U103" s="940">
        <v>25115</v>
      </c>
      <c r="V103" s="941">
        <v>0</v>
      </c>
      <c r="W103" s="941">
        <v>0</v>
      </c>
      <c r="X103" s="560">
        <v>0</v>
      </c>
      <c r="Y103" s="1606">
        <v>25115</v>
      </c>
      <c r="Z103" s="587">
        <v>0</v>
      </c>
      <c r="AA103" s="560">
        <v>0</v>
      </c>
      <c r="AB103" s="941">
        <v>0</v>
      </c>
      <c r="AC103" s="560">
        <v>0</v>
      </c>
      <c r="AD103" s="1747">
        <v>0</v>
      </c>
      <c r="AE103" s="689" t="s">
        <v>1339</v>
      </c>
      <c r="AF103" s="1166" t="s">
        <v>43</v>
      </c>
      <c r="AG103" s="1598" t="s">
        <v>904</v>
      </c>
      <c r="AH103" s="1164" t="s">
        <v>514</v>
      </c>
      <c r="AI103" s="1607" t="s">
        <v>513</v>
      </c>
    </row>
    <row r="104" spans="1:35" s="678" customFormat="1" ht="30" x14ac:dyDescent="0.25">
      <c r="A104" s="745" t="s">
        <v>777</v>
      </c>
      <c r="B104" s="746" t="s">
        <v>973</v>
      </c>
      <c r="C104" s="134">
        <v>2019</v>
      </c>
      <c r="D104" s="66" t="s">
        <v>969</v>
      </c>
      <c r="E104" s="67" t="s">
        <v>62</v>
      </c>
      <c r="F104" s="67" t="s">
        <v>62</v>
      </c>
      <c r="G104" s="145" t="s">
        <v>903</v>
      </c>
      <c r="H104" s="21">
        <v>2977</v>
      </c>
      <c r="I104" s="21">
        <v>1678.0346199999999</v>
      </c>
      <c r="J104" s="36">
        <v>0</v>
      </c>
      <c r="K104" s="1994">
        <v>0</v>
      </c>
      <c r="L104" s="1256">
        <v>1298.1768400000001</v>
      </c>
      <c r="M104" s="1255">
        <v>0</v>
      </c>
      <c r="N104" s="269">
        <f>1678.03462+694.96538-1678.03462+604-1298.96538</f>
        <v>0</v>
      </c>
      <c r="O104" s="38">
        <v>0</v>
      </c>
      <c r="P104" s="207">
        <v>0</v>
      </c>
      <c r="Q104" s="207">
        <v>1298.9653800000001</v>
      </c>
      <c r="R104" s="1550">
        <v>1298.9653800000001</v>
      </c>
      <c r="S104" s="494">
        <v>0</v>
      </c>
      <c r="T104" s="1550">
        <f t="shared" si="10"/>
        <v>1298.9653800000001</v>
      </c>
      <c r="U104" s="269">
        <v>0</v>
      </c>
      <c r="V104" s="207">
        <v>0</v>
      </c>
      <c r="W104" s="207">
        <v>0</v>
      </c>
      <c r="X104" s="38">
        <v>0</v>
      </c>
      <c r="Y104" s="109">
        <v>0</v>
      </c>
      <c r="Z104" s="23">
        <v>0</v>
      </c>
      <c r="AA104" s="38">
        <v>0</v>
      </c>
      <c r="AB104" s="207">
        <v>0</v>
      </c>
      <c r="AC104" s="38">
        <v>0</v>
      </c>
      <c r="AD104" s="208">
        <v>0</v>
      </c>
      <c r="AE104" s="113" t="s">
        <v>484</v>
      </c>
      <c r="AF104" s="66" t="s">
        <v>535</v>
      </c>
      <c r="AG104" s="318" t="s">
        <v>523</v>
      </c>
      <c r="AH104" s="210" t="s">
        <v>514</v>
      </c>
      <c r="AI104" s="65" t="s">
        <v>514</v>
      </c>
    </row>
    <row r="105" spans="1:35" s="388" customFormat="1" ht="25.5" x14ac:dyDescent="0.25">
      <c r="A105" s="127" t="s">
        <v>778</v>
      </c>
      <c r="B105" s="114" t="s">
        <v>1455</v>
      </c>
      <c r="C105" s="134">
        <v>2019</v>
      </c>
      <c r="D105" s="66" t="s">
        <v>969</v>
      </c>
      <c r="E105" s="67" t="s">
        <v>62</v>
      </c>
      <c r="F105" s="67" t="s">
        <v>62</v>
      </c>
      <c r="G105" s="145" t="s">
        <v>779</v>
      </c>
      <c r="H105" s="21">
        <v>19218</v>
      </c>
      <c r="I105" s="21">
        <v>0</v>
      </c>
      <c r="J105" s="36">
        <v>0</v>
      </c>
      <c r="K105" s="1994">
        <v>0</v>
      </c>
      <c r="L105" s="1256">
        <v>19217.046289999998</v>
      </c>
      <c r="M105" s="1255">
        <v>0</v>
      </c>
      <c r="N105" s="269">
        <v>0</v>
      </c>
      <c r="O105" s="335">
        <v>0</v>
      </c>
      <c r="P105" s="206">
        <v>0</v>
      </c>
      <c r="Q105" s="206">
        <v>19218</v>
      </c>
      <c r="R105" s="1550">
        <v>19218</v>
      </c>
      <c r="S105" s="494">
        <v>0</v>
      </c>
      <c r="T105" s="1550">
        <f t="shared" si="10"/>
        <v>19218</v>
      </c>
      <c r="U105" s="269">
        <v>0</v>
      </c>
      <c r="V105" s="207">
        <v>0</v>
      </c>
      <c r="W105" s="207">
        <v>0</v>
      </c>
      <c r="X105" s="38">
        <v>0</v>
      </c>
      <c r="Y105" s="109">
        <v>0</v>
      </c>
      <c r="Z105" s="23">
        <v>0</v>
      </c>
      <c r="AA105" s="38">
        <v>0</v>
      </c>
      <c r="AB105" s="207">
        <v>0</v>
      </c>
      <c r="AC105" s="38">
        <v>0</v>
      </c>
      <c r="AD105" s="2078">
        <v>0</v>
      </c>
      <c r="AE105" s="118" t="s">
        <v>484</v>
      </c>
      <c r="AF105" s="66" t="s">
        <v>535</v>
      </c>
      <c r="AG105" s="318" t="s">
        <v>540</v>
      </c>
      <c r="AH105" s="210" t="s">
        <v>514</v>
      </c>
      <c r="AI105" s="65" t="s">
        <v>514</v>
      </c>
    </row>
    <row r="106" spans="1:35" s="391" customFormat="1" ht="25.5" x14ac:dyDescent="0.25">
      <c r="A106" s="62" t="s">
        <v>780</v>
      </c>
      <c r="B106" s="85" t="s">
        <v>494</v>
      </c>
      <c r="C106" s="133">
        <v>2019</v>
      </c>
      <c r="D106" s="5" t="s">
        <v>969</v>
      </c>
      <c r="E106" s="63" t="s">
        <v>62</v>
      </c>
      <c r="F106" s="63" t="s">
        <v>62</v>
      </c>
      <c r="G106" s="417" t="s">
        <v>1030</v>
      </c>
      <c r="H106" s="16">
        <v>9043</v>
      </c>
      <c r="I106" s="16">
        <v>0</v>
      </c>
      <c r="J106" s="24">
        <v>0</v>
      </c>
      <c r="K106" s="412">
        <v>0</v>
      </c>
      <c r="L106" s="1252">
        <v>0</v>
      </c>
      <c r="M106" s="1251">
        <v>0</v>
      </c>
      <c r="N106" s="850">
        <v>0</v>
      </c>
      <c r="O106" s="29">
        <v>0</v>
      </c>
      <c r="P106" s="201">
        <v>0</v>
      </c>
      <c r="Q106" s="162">
        <v>0</v>
      </c>
      <c r="R106" s="1268">
        <v>0</v>
      </c>
      <c r="S106" s="1269">
        <v>0</v>
      </c>
      <c r="T106" s="1268">
        <f t="shared" si="10"/>
        <v>0</v>
      </c>
      <c r="U106" s="850">
        <v>0</v>
      </c>
      <c r="V106" s="201">
        <v>0</v>
      </c>
      <c r="W106" s="201">
        <v>0</v>
      </c>
      <c r="X106" s="29">
        <v>9043</v>
      </c>
      <c r="Y106" s="395">
        <v>9043</v>
      </c>
      <c r="Z106" s="18">
        <v>0</v>
      </c>
      <c r="AA106" s="29">
        <v>0</v>
      </c>
      <c r="AB106" s="201">
        <v>0</v>
      </c>
      <c r="AC106" s="29">
        <v>0</v>
      </c>
      <c r="AD106" s="1231">
        <v>0</v>
      </c>
      <c r="AE106" s="119" t="s">
        <v>484</v>
      </c>
      <c r="AF106" s="5" t="s">
        <v>43</v>
      </c>
      <c r="AG106" s="246" t="s">
        <v>1005</v>
      </c>
      <c r="AH106" s="193" t="s">
        <v>514</v>
      </c>
      <c r="AI106" s="104" t="s">
        <v>513</v>
      </c>
    </row>
    <row r="107" spans="1:35" s="388" customFormat="1" ht="25.5" x14ac:dyDescent="0.25">
      <c r="A107" s="529" t="s">
        <v>781</v>
      </c>
      <c r="B107" s="434" t="s">
        <v>1231</v>
      </c>
      <c r="C107" s="541">
        <v>2019</v>
      </c>
      <c r="D107" s="382" t="s">
        <v>969</v>
      </c>
      <c r="E107" s="530" t="s">
        <v>62</v>
      </c>
      <c r="F107" s="530" t="s">
        <v>62</v>
      </c>
      <c r="G107" s="626" t="s">
        <v>782</v>
      </c>
      <c r="H107" s="383">
        <v>4005.0932200000002</v>
      </c>
      <c r="I107" s="383">
        <v>0</v>
      </c>
      <c r="J107" s="436">
        <v>0</v>
      </c>
      <c r="K107" s="1994">
        <v>4005.0932200000002</v>
      </c>
      <c r="L107" s="1542">
        <v>0</v>
      </c>
      <c r="M107" s="1541">
        <v>0</v>
      </c>
      <c r="N107" s="713">
        <v>0</v>
      </c>
      <c r="O107" s="662">
        <v>0</v>
      </c>
      <c r="P107" s="602">
        <v>4005.0932200000002</v>
      </c>
      <c r="Q107" s="532">
        <v>0</v>
      </c>
      <c r="R107" s="1543">
        <v>4006</v>
      </c>
      <c r="S107" s="737">
        <v>-0.90678000000000003</v>
      </c>
      <c r="T107" s="1543">
        <f t="shared" si="10"/>
        <v>4005.0932200000002</v>
      </c>
      <c r="U107" s="713">
        <v>0</v>
      </c>
      <c r="V107" s="533">
        <v>0</v>
      </c>
      <c r="W107" s="533">
        <v>0</v>
      </c>
      <c r="X107" s="532">
        <v>0</v>
      </c>
      <c r="Y107" s="1186">
        <v>0</v>
      </c>
      <c r="Z107" s="531">
        <v>0</v>
      </c>
      <c r="AA107" s="532">
        <v>0</v>
      </c>
      <c r="AB107" s="533">
        <v>0</v>
      </c>
      <c r="AC107" s="532">
        <v>0</v>
      </c>
      <c r="AD107" s="2074">
        <v>0</v>
      </c>
      <c r="AE107" s="384" t="s">
        <v>1340</v>
      </c>
      <c r="AF107" s="382" t="s">
        <v>535</v>
      </c>
      <c r="AG107" s="595" t="s">
        <v>540</v>
      </c>
      <c r="AH107" s="566" t="s">
        <v>514</v>
      </c>
      <c r="AI107" s="565" t="s">
        <v>514</v>
      </c>
    </row>
    <row r="108" spans="1:35" s="388" customFormat="1" ht="30" x14ac:dyDescent="0.25">
      <c r="A108" s="745" t="s">
        <v>783</v>
      </c>
      <c r="B108" s="746" t="s">
        <v>974</v>
      </c>
      <c r="C108" s="134">
        <v>2019</v>
      </c>
      <c r="D108" s="66" t="s">
        <v>969</v>
      </c>
      <c r="E108" s="67" t="s">
        <v>62</v>
      </c>
      <c r="F108" s="67" t="s">
        <v>62</v>
      </c>
      <c r="G108" s="145" t="s">
        <v>784</v>
      </c>
      <c r="H108" s="21">
        <f>915.06547+131</f>
        <v>1046.06547</v>
      </c>
      <c r="I108" s="166">
        <v>915.06547</v>
      </c>
      <c r="J108" s="36">
        <v>0</v>
      </c>
      <c r="K108" s="1994">
        <v>0</v>
      </c>
      <c r="L108" s="1256">
        <v>130.90816000000001</v>
      </c>
      <c r="M108" s="1255">
        <v>0</v>
      </c>
      <c r="N108" s="269">
        <v>0</v>
      </c>
      <c r="O108" s="38">
        <v>0</v>
      </c>
      <c r="P108" s="207">
        <v>0</v>
      </c>
      <c r="Q108" s="207">
        <v>131</v>
      </c>
      <c r="R108" s="1550">
        <v>131</v>
      </c>
      <c r="S108" s="494">
        <v>0</v>
      </c>
      <c r="T108" s="1550">
        <f t="shared" si="10"/>
        <v>131</v>
      </c>
      <c r="U108" s="269">
        <v>0</v>
      </c>
      <c r="V108" s="207">
        <v>0</v>
      </c>
      <c r="W108" s="207">
        <v>0</v>
      </c>
      <c r="X108" s="38">
        <v>0</v>
      </c>
      <c r="Y108" s="109">
        <v>0</v>
      </c>
      <c r="Z108" s="23">
        <v>0</v>
      </c>
      <c r="AA108" s="38">
        <v>0</v>
      </c>
      <c r="AB108" s="207">
        <v>0</v>
      </c>
      <c r="AC108" s="38">
        <v>0</v>
      </c>
      <c r="AD108" s="208">
        <v>0</v>
      </c>
      <c r="AE108" s="113" t="s">
        <v>484</v>
      </c>
      <c r="AF108" s="66" t="s">
        <v>535</v>
      </c>
      <c r="AG108" s="318" t="s">
        <v>523</v>
      </c>
      <c r="AH108" s="210" t="s">
        <v>514</v>
      </c>
      <c r="AI108" s="65" t="s">
        <v>514</v>
      </c>
    </row>
    <row r="109" spans="1:35" s="391" customFormat="1" ht="30" x14ac:dyDescent="0.25">
      <c r="A109" s="1118" t="s">
        <v>785</v>
      </c>
      <c r="B109" s="1119" t="s">
        <v>888</v>
      </c>
      <c r="C109" s="524">
        <v>2019</v>
      </c>
      <c r="D109" s="298" t="s">
        <v>969</v>
      </c>
      <c r="E109" s="407" t="s">
        <v>62</v>
      </c>
      <c r="F109" s="407" t="s">
        <v>62</v>
      </c>
      <c r="G109" s="1024" t="s">
        <v>786</v>
      </c>
      <c r="H109" s="300">
        <v>19548</v>
      </c>
      <c r="I109" s="300">
        <v>19350.263869999999</v>
      </c>
      <c r="J109" s="299">
        <v>0</v>
      </c>
      <c r="K109" s="1916">
        <v>0</v>
      </c>
      <c r="L109" s="1545">
        <v>163.35</v>
      </c>
      <c r="M109" s="1544">
        <v>0</v>
      </c>
      <c r="N109" s="927">
        <v>0</v>
      </c>
      <c r="O109" s="528">
        <v>0</v>
      </c>
      <c r="P109" s="527">
        <v>0</v>
      </c>
      <c r="Q109" s="527">
        <f>164-0.26387</f>
        <v>163.73613</v>
      </c>
      <c r="R109" s="1546">
        <v>163.73613</v>
      </c>
      <c r="S109" s="1547">
        <v>0</v>
      </c>
      <c r="T109" s="1546">
        <f t="shared" si="10"/>
        <v>163.73613</v>
      </c>
      <c r="U109" s="927">
        <v>34</v>
      </c>
      <c r="V109" s="527">
        <v>0</v>
      </c>
      <c r="W109" s="527">
        <v>0</v>
      </c>
      <c r="X109" s="528">
        <v>0</v>
      </c>
      <c r="Y109" s="1187">
        <v>34</v>
      </c>
      <c r="Z109" s="990">
        <v>0</v>
      </c>
      <c r="AA109" s="528">
        <v>0</v>
      </c>
      <c r="AB109" s="527">
        <v>0</v>
      </c>
      <c r="AC109" s="528">
        <v>0</v>
      </c>
      <c r="AD109" s="1674">
        <v>0</v>
      </c>
      <c r="AE109" s="280" t="s">
        <v>1341</v>
      </c>
      <c r="AF109" s="298" t="s">
        <v>43</v>
      </c>
      <c r="AG109" s="1121" t="s">
        <v>732</v>
      </c>
      <c r="AH109" s="991" t="s">
        <v>514</v>
      </c>
      <c r="AI109" s="992" t="s">
        <v>514</v>
      </c>
    </row>
    <row r="110" spans="1:35" ht="30" x14ac:dyDescent="0.25">
      <c r="A110" s="62" t="s">
        <v>787</v>
      </c>
      <c r="B110" s="85" t="s">
        <v>1125</v>
      </c>
      <c r="C110" s="133">
        <v>2019</v>
      </c>
      <c r="D110" s="5" t="s">
        <v>969</v>
      </c>
      <c r="E110" s="63" t="s">
        <v>62</v>
      </c>
      <c r="F110" s="63" t="s">
        <v>62</v>
      </c>
      <c r="G110" s="417" t="s">
        <v>788</v>
      </c>
      <c r="H110" s="16">
        <v>4558</v>
      </c>
      <c r="I110" s="16">
        <v>0</v>
      </c>
      <c r="J110" s="24">
        <v>31.218</v>
      </c>
      <c r="K110" s="412">
        <v>0</v>
      </c>
      <c r="L110" s="1252">
        <f>1684.85602+2841.30472</f>
        <v>4526.1607400000003</v>
      </c>
      <c r="M110" s="1251">
        <v>0</v>
      </c>
      <c r="N110" s="850">
        <v>0</v>
      </c>
      <c r="O110" s="155">
        <v>31.218</v>
      </c>
      <c r="P110" s="201">
        <v>0</v>
      </c>
      <c r="Q110" s="201">
        <f>4558-31.218</f>
        <v>4526.7820000000002</v>
      </c>
      <c r="R110" s="1268">
        <v>4558</v>
      </c>
      <c r="S110" s="1269">
        <v>0</v>
      </c>
      <c r="T110" s="1268">
        <f t="shared" si="10"/>
        <v>4558</v>
      </c>
      <c r="U110" s="850">
        <v>0</v>
      </c>
      <c r="V110" s="201">
        <v>0</v>
      </c>
      <c r="W110" s="201">
        <v>0</v>
      </c>
      <c r="X110" s="29">
        <v>0</v>
      </c>
      <c r="Y110" s="395">
        <v>0</v>
      </c>
      <c r="Z110" s="18">
        <v>0</v>
      </c>
      <c r="AA110" s="29">
        <v>0</v>
      </c>
      <c r="AB110" s="201">
        <v>0</v>
      </c>
      <c r="AC110" s="29">
        <v>0</v>
      </c>
      <c r="AD110" s="2073">
        <v>0</v>
      </c>
      <c r="AE110" s="52" t="s">
        <v>484</v>
      </c>
      <c r="AF110" s="5" t="s">
        <v>43</v>
      </c>
      <c r="AG110" s="246" t="s">
        <v>208</v>
      </c>
      <c r="AH110" s="193" t="s">
        <v>514</v>
      </c>
      <c r="AI110" s="104" t="s">
        <v>514</v>
      </c>
    </row>
    <row r="111" spans="1:35" s="391" customFormat="1" ht="45" x14ac:dyDescent="0.25">
      <c r="A111" s="748" t="s">
        <v>789</v>
      </c>
      <c r="B111" s="749" t="s">
        <v>975</v>
      </c>
      <c r="C111" s="133">
        <v>2019</v>
      </c>
      <c r="D111" s="5" t="s">
        <v>969</v>
      </c>
      <c r="E111" s="63" t="s">
        <v>62</v>
      </c>
      <c r="F111" s="63" t="s">
        <v>62</v>
      </c>
      <c r="G111" s="417" t="s">
        <v>790</v>
      </c>
      <c r="H111" s="16">
        <v>5698</v>
      </c>
      <c r="I111" s="16">
        <v>2381.3672499999998</v>
      </c>
      <c r="J111" s="16">
        <v>2019.61628</v>
      </c>
      <c r="K111" s="412">
        <v>0</v>
      </c>
      <c r="L111" s="782">
        <v>1296.3061499999999</v>
      </c>
      <c r="M111" s="1254">
        <v>0</v>
      </c>
      <c r="N111" s="850">
        <v>0</v>
      </c>
      <c r="O111" s="29">
        <v>2019.61628</v>
      </c>
      <c r="P111" s="201">
        <v>0</v>
      </c>
      <c r="Q111" s="201">
        <v>1297.0164700000003</v>
      </c>
      <c r="R111" s="1268">
        <v>3316.6327500000002</v>
      </c>
      <c r="S111" s="1269">
        <v>0</v>
      </c>
      <c r="T111" s="1268">
        <f t="shared" si="10"/>
        <v>3316.6327500000002</v>
      </c>
      <c r="U111" s="850">
        <v>0</v>
      </c>
      <c r="V111" s="201">
        <v>0</v>
      </c>
      <c r="W111" s="201">
        <v>0</v>
      </c>
      <c r="X111" s="29">
        <v>0</v>
      </c>
      <c r="Y111" s="395">
        <v>0</v>
      </c>
      <c r="Z111" s="18">
        <v>0</v>
      </c>
      <c r="AA111" s="29">
        <v>0</v>
      </c>
      <c r="AB111" s="201">
        <v>0</v>
      </c>
      <c r="AC111" s="29">
        <v>0</v>
      </c>
      <c r="AD111" s="2073">
        <v>0</v>
      </c>
      <c r="AE111" s="52" t="s">
        <v>484</v>
      </c>
      <c r="AF111" s="5" t="s">
        <v>43</v>
      </c>
      <c r="AG111" s="246" t="s">
        <v>208</v>
      </c>
      <c r="AH111" s="193" t="s">
        <v>514</v>
      </c>
      <c r="AI111" s="104" t="s">
        <v>514</v>
      </c>
    </row>
    <row r="112" spans="1:35" s="391" customFormat="1" ht="30" x14ac:dyDescent="0.25">
      <c r="A112" s="745" t="s">
        <v>791</v>
      </c>
      <c r="B112" s="746" t="s">
        <v>891</v>
      </c>
      <c r="C112" s="134">
        <v>2019</v>
      </c>
      <c r="D112" s="66" t="s">
        <v>969</v>
      </c>
      <c r="E112" s="67" t="s">
        <v>62</v>
      </c>
      <c r="F112" s="67" t="s">
        <v>62</v>
      </c>
      <c r="G112" s="145" t="s">
        <v>792</v>
      </c>
      <c r="H112" s="21">
        <v>1390</v>
      </c>
      <c r="I112" s="21">
        <v>1058.48064</v>
      </c>
      <c r="J112" s="24">
        <v>0</v>
      </c>
      <c r="K112" s="412">
        <v>0</v>
      </c>
      <c r="L112" s="1252">
        <v>330.86239999999998</v>
      </c>
      <c r="M112" s="1251">
        <v>0</v>
      </c>
      <c r="N112" s="269">
        <v>0</v>
      </c>
      <c r="O112" s="206">
        <v>0</v>
      </c>
      <c r="P112" s="206">
        <v>0</v>
      </c>
      <c r="Q112" s="206">
        <v>331.51936000000001</v>
      </c>
      <c r="R112" s="1550">
        <v>331.51936000000001</v>
      </c>
      <c r="S112" s="494">
        <v>0</v>
      </c>
      <c r="T112" s="1550">
        <f t="shared" ref="T112:T175" si="11">R112+S112</f>
        <v>331.51936000000001</v>
      </c>
      <c r="U112" s="269">
        <v>0</v>
      </c>
      <c r="V112" s="207">
        <v>0</v>
      </c>
      <c r="W112" s="207">
        <v>0</v>
      </c>
      <c r="X112" s="38">
        <v>0</v>
      </c>
      <c r="Y112" s="109">
        <v>0</v>
      </c>
      <c r="Z112" s="23">
        <v>0</v>
      </c>
      <c r="AA112" s="38">
        <v>0</v>
      </c>
      <c r="AB112" s="207">
        <v>0</v>
      </c>
      <c r="AC112" s="38">
        <v>0</v>
      </c>
      <c r="AD112" s="208">
        <v>0</v>
      </c>
      <c r="AE112" s="113" t="s">
        <v>484</v>
      </c>
      <c r="AF112" s="66" t="s">
        <v>1171</v>
      </c>
      <c r="AG112" s="318" t="s">
        <v>732</v>
      </c>
      <c r="AH112" s="210" t="s">
        <v>514</v>
      </c>
      <c r="AI112" s="65" t="s">
        <v>514</v>
      </c>
    </row>
    <row r="113" spans="1:35" s="678" customFormat="1" ht="25.5" x14ac:dyDescent="0.25">
      <c r="A113" s="745" t="s">
        <v>793</v>
      </c>
      <c r="B113" s="746" t="s">
        <v>976</v>
      </c>
      <c r="C113" s="134">
        <v>2019</v>
      </c>
      <c r="D113" s="66" t="s">
        <v>969</v>
      </c>
      <c r="E113" s="67" t="s">
        <v>62</v>
      </c>
      <c r="F113" s="67" t="s">
        <v>62</v>
      </c>
      <c r="G113" s="145" t="s">
        <v>794</v>
      </c>
      <c r="H113" s="21">
        <v>4352.0445</v>
      </c>
      <c r="I113" s="21">
        <v>3682.0445</v>
      </c>
      <c r="J113" s="36">
        <v>669.85032999999999</v>
      </c>
      <c r="K113" s="1994">
        <v>0</v>
      </c>
      <c r="L113" s="1256">
        <v>0</v>
      </c>
      <c r="M113" s="1255">
        <v>0</v>
      </c>
      <c r="N113" s="269">
        <v>669.85032999999999</v>
      </c>
      <c r="O113" s="38">
        <v>0.14967</v>
      </c>
      <c r="P113" s="207">
        <v>0</v>
      </c>
      <c r="Q113" s="38">
        <v>0</v>
      </c>
      <c r="R113" s="1550">
        <v>670</v>
      </c>
      <c r="S113" s="494">
        <v>0</v>
      </c>
      <c r="T113" s="1550">
        <f t="shared" si="11"/>
        <v>670</v>
      </c>
      <c r="U113" s="269">
        <v>0</v>
      </c>
      <c r="V113" s="207">
        <v>0</v>
      </c>
      <c r="W113" s="207">
        <v>0</v>
      </c>
      <c r="X113" s="38">
        <v>0</v>
      </c>
      <c r="Y113" s="109">
        <v>0</v>
      </c>
      <c r="Z113" s="23">
        <v>0</v>
      </c>
      <c r="AA113" s="38">
        <v>0</v>
      </c>
      <c r="AB113" s="207">
        <v>0</v>
      </c>
      <c r="AC113" s="38">
        <v>0</v>
      </c>
      <c r="AD113" s="208">
        <v>0</v>
      </c>
      <c r="AE113" s="113" t="s">
        <v>484</v>
      </c>
      <c r="AF113" s="66" t="s">
        <v>535</v>
      </c>
      <c r="AG113" s="210" t="s">
        <v>608</v>
      </c>
      <c r="AH113" s="210" t="s">
        <v>514</v>
      </c>
      <c r="AI113" s="65" t="s">
        <v>514</v>
      </c>
    </row>
    <row r="114" spans="1:35" s="678" customFormat="1" ht="45" x14ac:dyDescent="0.25">
      <c r="A114" s="745" t="s">
        <v>795</v>
      </c>
      <c r="B114" s="746" t="s">
        <v>977</v>
      </c>
      <c r="C114" s="134">
        <v>2019</v>
      </c>
      <c r="D114" s="66" t="s">
        <v>969</v>
      </c>
      <c r="E114" s="67" t="s">
        <v>62</v>
      </c>
      <c r="F114" s="67" t="s">
        <v>62</v>
      </c>
      <c r="G114" s="145" t="s">
        <v>1449</v>
      </c>
      <c r="H114" s="21">
        <f>2666-1</f>
        <v>2665</v>
      </c>
      <c r="I114" s="21">
        <f>2420.42046+0.14017</f>
        <v>2420.5606299999999</v>
      </c>
      <c r="J114" s="36">
        <v>244.43937</v>
      </c>
      <c r="K114" s="1994">
        <v>0</v>
      </c>
      <c r="L114" s="1256">
        <v>0</v>
      </c>
      <c r="M114" s="1255">
        <v>0</v>
      </c>
      <c r="N114" s="269">
        <v>244.43937</v>
      </c>
      <c r="O114" s="38">
        <v>0</v>
      </c>
      <c r="P114" s="207">
        <v>0</v>
      </c>
      <c r="Q114" s="38">
        <v>0</v>
      </c>
      <c r="R114" s="1550">
        <v>244.43937</v>
      </c>
      <c r="S114" s="494">
        <v>0</v>
      </c>
      <c r="T114" s="1550">
        <f t="shared" si="11"/>
        <v>244.43937</v>
      </c>
      <c r="U114" s="269">
        <v>0</v>
      </c>
      <c r="V114" s="207">
        <v>0</v>
      </c>
      <c r="W114" s="207">
        <v>0</v>
      </c>
      <c r="X114" s="38">
        <v>0</v>
      </c>
      <c r="Y114" s="109">
        <v>0</v>
      </c>
      <c r="Z114" s="23">
        <v>0</v>
      </c>
      <c r="AA114" s="38">
        <v>0</v>
      </c>
      <c r="AB114" s="207">
        <v>0</v>
      </c>
      <c r="AC114" s="38">
        <v>0</v>
      </c>
      <c r="AD114" s="208">
        <v>0</v>
      </c>
      <c r="AE114" s="113" t="s">
        <v>484</v>
      </c>
      <c r="AF114" s="66" t="s">
        <v>535</v>
      </c>
      <c r="AG114" s="210" t="s">
        <v>608</v>
      </c>
      <c r="AH114" s="210" t="s">
        <v>514</v>
      </c>
      <c r="AI114" s="65" t="s">
        <v>514</v>
      </c>
    </row>
    <row r="115" spans="1:35" s="678" customFormat="1" ht="30" x14ac:dyDescent="0.25">
      <c r="A115" s="745" t="s">
        <v>796</v>
      </c>
      <c r="B115" s="746" t="s">
        <v>893</v>
      </c>
      <c r="C115" s="134">
        <v>2019</v>
      </c>
      <c r="D115" s="66" t="s">
        <v>969</v>
      </c>
      <c r="E115" s="67" t="s">
        <v>62</v>
      </c>
      <c r="F115" s="67" t="s">
        <v>62</v>
      </c>
      <c r="G115" s="145" t="s">
        <v>797</v>
      </c>
      <c r="H115" s="21">
        <v>2923</v>
      </c>
      <c r="I115" s="21">
        <v>2503.9971800000003</v>
      </c>
      <c r="J115" s="36">
        <v>0</v>
      </c>
      <c r="K115" s="1994">
        <v>0</v>
      </c>
      <c r="L115" s="1256">
        <v>418.73937000000001</v>
      </c>
      <c r="M115" s="1255">
        <v>0</v>
      </c>
      <c r="N115" s="269">
        <v>0</v>
      </c>
      <c r="O115" s="38">
        <v>0</v>
      </c>
      <c r="P115" s="207">
        <v>0</v>
      </c>
      <c r="Q115" s="207">
        <v>419.00281999999999</v>
      </c>
      <c r="R115" s="1550">
        <v>419.00281999999999</v>
      </c>
      <c r="S115" s="494">
        <v>0</v>
      </c>
      <c r="T115" s="1550">
        <f t="shared" si="11"/>
        <v>419.00281999999999</v>
      </c>
      <c r="U115" s="269">
        <v>0</v>
      </c>
      <c r="V115" s="207">
        <v>0</v>
      </c>
      <c r="W115" s="207">
        <v>0</v>
      </c>
      <c r="X115" s="38">
        <v>0</v>
      </c>
      <c r="Y115" s="109">
        <v>0</v>
      </c>
      <c r="Z115" s="23">
        <v>0</v>
      </c>
      <c r="AA115" s="38">
        <v>0</v>
      </c>
      <c r="AB115" s="207">
        <v>0</v>
      </c>
      <c r="AC115" s="38">
        <v>0</v>
      </c>
      <c r="AD115" s="208">
        <v>0</v>
      </c>
      <c r="AE115" s="113" t="s">
        <v>484</v>
      </c>
      <c r="AF115" s="66" t="s">
        <v>535</v>
      </c>
      <c r="AG115" s="318" t="s">
        <v>523</v>
      </c>
      <c r="AH115" s="210" t="s">
        <v>514</v>
      </c>
      <c r="AI115" s="65" t="s">
        <v>514</v>
      </c>
    </row>
    <row r="116" spans="1:35" s="391" customFormat="1" ht="30" x14ac:dyDescent="0.25">
      <c r="A116" s="987" t="s">
        <v>798</v>
      </c>
      <c r="B116" s="988" t="s">
        <v>1228</v>
      </c>
      <c r="C116" s="524">
        <v>2019</v>
      </c>
      <c r="D116" s="298" t="s">
        <v>969</v>
      </c>
      <c r="E116" s="407" t="s">
        <v>62</v>
      </c>
      <c r="F116" s="407" t="s">
        <v>62</v>
      </c>
      <c r="G116" s="1024" t="s">
        <v>799</v>
      </c>
      <c r="H116" s="300">
        <v>2934</v>
      </c>
      <c r="I116" s="300">
        <v>0</v>
      </c>
      <c r="J116" s="299">
        <v>0</v>
      </c>
      <c r="K116" s="1916">
        <v>2729.3690900000001</v>
      </c>
      <c r="L116" s="1545">
        <v>162.63091</v>
      </c>
      <c r="M116" s="1544">
        <v>0</v>
      </c>
      <c r="N116" s="927">
        <v>0</v>
      </c>
      <c r="O116" s="528">
        <v>0</v>
      </c>
      <c r="P116" s="527">
        <v>2729.3690900000001</v>
      </c>
      <c r="Q116" s="528">
        <f>205-0.36909</f>
        <v>204.63091</v>
      </c>
      <c r="R116" s="1546">
        <v>2892</v>
      </c>
      <c r="S116" s="1547">
        <v>42</v>
      </c>
      <c r="T116" s="1546">
        <f t="shared" si="11"/>
        <v>2934</v>
      </c>
      <c r="U116" s="850">
        <v>0</v>
      </c>
      <c r="V116" s="201">
        <v>0</v>
      </c>
      <c r="W116" s="201">
        <v>0</v>
      </c>
      <c r="X116" s="29">
        <v>0</v>
      </c>
      <c r="Y116" s="395">
        <v>0</v>
      </c>
      <c r="Z116" s="18">
        <v>0</v>
      </c>
      <c r="AA116" s="29">
        <v>0</v>
      </c>
      <c r="AB116" s="201">
        <v>0</v>
      </c>
      <c r="AC116" s="29">
        <v>0</v>
      </c>
      <c r="AD116" s="2073">
        <v>0</v>
      </c>
      <c r="AE116" s="280" t="s">
        <v>1342</v>
      </c>
      <c r="AF116" s="373" t="s">
        <v>1171</v>
      </c>
      <c r="AG116" s="1121" t="s">
        <v>732</v>
      </c>
      <c r="AH116" s="991" t="s">
        <v>514</v>
      </c>
      <c r="AI116" s="992" t="s">
        <v>514</v>
      </c>
    </row>
    <row r="117" spans="1:35" s="678" customFormat="1" ht="30" x14ac:dyDescent="0.25">
      <c r="A117" s="745" t="s">
        <v>800</v>
      </c>
      <c r="B117" s="746" t="s">
        <v>894</v>
      </c>
      <c r="C117" s="134">
        <v>2019</v>
      </c>
      <c r="D117" s="66" t="s">
        <v>969</v>
      </c>
      <c r="E117" s="67" t="s">
        <v>62</v>
      </c>
      <c r="F117" s="67" t="s">
        <v>62</v>
      </c>
      <c r="G117" s="145" t="s">
        <v>859</v>
      </c>
      <c r="H117" s="21">
        <f>5852.64004+993</f>
        <v>6845.6400400000002</v>
      </c>
      <c r="I117" s="166">
        <v>5852.6400400000002</v>
      </c>
      <c r="J117" s="36">
        <v>0</v>
      </c>
      <c r="K117" s="1994">
        <v>0</v>
      </c>
      <c r="L117" s="1256">
        <v>992.15183999999999</v>
      </c>
      <c r="M117" s="1255">
        <v>0</v>
      </c>
      <c r="N117" s="269">
        <v>0</v>
      </c>
      <c r="O117" s="38">
        <v>0</v>
      </c>
      <c r="P117" s="207">
        <v>0</v>
      </c>
      <c r="Q117" s="207">
        <v>993</v>
      </c>
      <c r="R117" s="1550">
        <v>993</v>
      </c>
      <c r="S117" s="494">
        <v>0</v>
      </c>
      <c r="T117" s="1550">
        <f t="shared" si="11"/>
        <v>993</v>
      </c>
      <c r="U117" s="269">
        <v>0</v>
      </c>
      <c r="V117" s="207">
        <v>0</v>
      </c>
      <c r="W117" s="207">
        <v>0</v>
      </c>
      <c r="X117" s="38">
        <v>0</v>
      </c>
      <c r="Y117" s="109">
        <v>0</v>
      </c>
      <c r="Z117" s="23">
        <v>0</v>
      </c>
      <c r="AA117" s="38">
        <v>0</v>
      </c>
      <c r="AB117" s="207">
        <v>0</v>
      </c>
      <c r="AC117" s="38">
        <v>0</v>
      </c>
      <c r="AD117" s="208">
        <v>0</v>
      </c>
      <c r="AE117" s="113" t="s">
        <v>484</v>
      </c>
      <c r="AF117" s="66" t="s">
        <v>535</v>
      </c>
      <c r="AG117" s="318" t="s">
        <v>523</v>
      </c>
      <c r="AH117" s="210" t="s">
        <v>514</v>
      </c>
      <c r="AI117" s="65" t="s">
        <v>514</v>
      </c>
    </row>
    <row r="118" spans="1:35" s="391" customFormat="1" ht="30" x14ac:dyDescent="0.25">
      <c r="A118" s="748" t="s">
        <v>801</v>
      </c>
      <c r="B118" s="749" t="s">
        <v>978</v>
      </c>
      <c r="C118" s="133">
        <v>2019</v>
      </c>
      <c r="D118" s="5" t="s">
        <v>969</v>
      </c>
      <c r="E118" s="63" t="s">
        <v>62</v>
      </c>
      <c r="F118" s="63" t="s">
        <v>62</v>
      </c>
      <c r="G118" s="417" t="s">
        <v>802</v>
      </c>
      <c r="H118" s="16">
        <v>4631.1322200000004</v>
      </c>
      <c r="I118" s="16">
        <v>3919.8879999999999</v>
      </c>
      <c r="J118" s="16">
        <v>488.36221999999998</v>
      </c>
      <c r="K118" s="412">
        <v>37.146999999999998</v>
      </c>
      <c r="L118" s="782">
        <v>55.720500000000001</v>
      </c>
      <c r="M118" s="1254">
        <v>0</v>
      </c>
      <c r="N118" s="850">
        <f>447+3968.13222-3919.888-44.029</f>
        <v>451.21521999999959</v>
      </c>
      <c r="O118" s="29">
        <f>54+44.029-60.882</f>
        <v>37.146999999999998</v>
      </c>
      <c r="P118" s="201">
        <f>56+60.882-79.735</f>
        <v>37.147000000000006</v>
      </c>
      <c r="Q118" s="29">
        <f>54+79.735</f>
        <v>133.73500000000001</v>
      </c>
      <c r="R118" s="1268">
        <v>659.24422000000004</v>
      </c>
      <c r="S118" s="1269">
        <v>0</v>
      </c>
      <c r="T118" s="1268">
        <f t="shared" si="11"/>
        <v>659.24422000000004</v>
      </c>
      <c r="U118" s="850">
        <v>52</v>
      </c>
      <c r="V118" s="201">
        <v>0</v>
      </c>
      <c r="W118" s="201">
        <v>0</v>
      </c>
      <c r="X118" s="29">
        <v>0</v>
      </c>
      <c r="Y118" s="395">
        <v>52</v>
      </c>
      <c r="Z118" s="18">
        <v>0</v>
      </c>
      <c r="AA118" s="29">
        <v>0</v>
      </c>
      <c r="AB118" s="201">
        <v>0</v>
      </c>
      <c r="AC118" s="29">
        <v>0</v>
      </c>
      <c r="AD118" s="2073">
        <v>0</v>
      </c>
      <c r="AE118" s="52" t="s">
        <v>1239</v>
      </c>
      <c r="AF118" s="5" t="s">
        <v>43</v>
      </c>
      <c r="AG118" s="246" t="s">
        <v>904</v>
      </c>
      <c r="AH118" s="193" t="s">
        <v>514</v>
      </c>
      <c r="AI118" s="104" t="s">
        <v>514</v>
      </c>
    </row>
    <row r="119" spans="1:35" s="678" customFormat="1" ht="30" x14ac:dyDescent="0.25">
      <c r="A119" s="745" t="s">
        <v>803</v>
      </c>
      <c r="B119" s="746" t="s">
        <v>892</v>
      </c>
      <c r="C119" s="134">
        <v>2019</v>
      </c>
      <c r="D119" s="66" t="s">
        <v>969</v>
      </c>
      <c r="E119" s="67" t="s">
        <v>62</v>
      </c>
      <c r="F119" s="67" t="s">
        <v>62</v>
      </c>
      <c r="G119" s="145" t="s">
        <v>804</v>
      </c>
      <c r="H119" s="21">
        <f>3989.81341+110.1</f>
        <v>4099.9134100000001</v>
      </c>
      <c r="I119" s="21">
        <v>3129.9408899999999</v>
      </c>
      <c r="J119" s="21">
        <v>969.97252000000003</v>
      </c>
      <c r="K119" s="1994">
        <v>0</v>
      </c>
      <c r="L119" s="166">
        <v>0</v>
      </c>
      <c r="M119" s="1257">
        <v>0</v>
      </c>
      <c r="N119" s="269">
        <f>704+266-0.02748-969.97252</f>
        <v>0</v>
      </c>
      <c r="O119" s="38">
        <v>969.97252000000003</v>
      </c>
      <c r="P119" s="207">
        <v>0</v>
      </c>
      <c r="Q119" s="38">
        <v>0</v>
      </c>
      <c r="R119" s="1550">
        <v>969.97251999999992</v>
      </c>
      <c r="S119" s="494">
        <v>0</v>
      </c>
      <c r="T119" s="1550">
        <f t="shared" si="11"/>
        <v>969.97251999999992</v>
      </c>
      <c r="U119" s="269">
        <v>0</v>
      </c>
      <c r="V119" s="207">
        <v>0</v>
      </c>
      <c r="W119" s="207">
        <v>0</v>
      </c>
      <c r="X119" s="38">
        <v>0</v>
      </c>
      <c r="Y119" s="109">
        <v>0</v>
      </c>
      <c r="Z119" s="23">
        <v>0</v>
      </c>
      <c r="AA119" s="38">
        <v>0</v>
      </c>
      <c r="AB119" s="207">
        <v>0</v>
      </c>
      <c r="AC119" s="38">
        <v>0</v>
      </c>
      <c r="AD119" s="208">
        <v>0</v>
      </c>
      <c r="AE119" s="113" t="s">
        <v>484</v>
      </c>
      <c r="AF119" s="66" t="s">
        <v>535</v>
      </c>
      <c r="AG119" s="318" t="s">
        <v>608</v>
      </c>
      <c r="AH119" s="210" t="s">
        <v>514</v>
      </c>
      <c r="AI119" s="65" t="s">
        <v>514</v>
      </c>
    </row>
    <row r="120" spans="1:35" s="385" customFormat="1" ht="30" x14ac:dyDescent="0.25">
      <c r="A120" s="745" t="s">
        <v>805</v>
      </c>
      <c r="B120" s="746" t="s">
        <v>979</v>
      </c>
      <c r="C120" s="134">
        <v>2019</v>
      </c>
      <c r="D120" s="66" t="s">
        <v>969</v>
      </c>
      <c r="E120" s="67" t="s">
        <v>62</v>
      </c>
      <c r="F120" s="67" t="s">
        <v>62</v>
      </c>
      <c r="G120" s="145" t="s">
        <v>806</v>
      </c>
      <c r="H120" s="21">
        <f>5900-0.86834</f>
        <v>5899.13166</v>
      </c>
      <c r="I120" s="21">
        <v>4950.9879499999997</v>
      </c>
      <c r="J120" s="36">
        <v>948.14371000000006</v>
      </c>
      <c r="K120" s="1994">
        <v>0</v>
      </c>
      <c r="L120" s="1256">
        <v>0</v>
      </c>
      <c r="M120" s="1255">
        <v>0</v>
      </c>
      <c r="N120" s="269">
        <f>4950.98795+949.01205-4950.98795-0.86834</f>
        <v>948.14371000000028</v>
      </c>
      <c r="O120" s="38">
        <v>0</v>
      </c>
      <c r="P120" s="207">
        <v>0</v>
      </c>
      <c r="Q120" s="38">
        <v>0</v>
      </c>
      <c r="R120" s="1550">
        <v>948.14371000000006</v>
      </c>
      <c r="S120" s="494">
        <v>0</v>
      </c>
      <c r="T120" s="1550">
        <f t="shared" si="11"/>
        <v>948.14371000000006</v>
      </c>
      <c r="U120" s="269">
        <v>0</v>
      </c>
      <c r="V120" s="207">
        <v>0</v>
      </c>
      <c r="W120" s="207">
        <v>0</v>
      </c>
      <c r="X120" s="38">
        <v>0</v>
      </c>
      <c r="Y120" s="109">
        <v>0</v>
      </c>
      <c r="Z120" s="23">
        <v>0</v>
      </c>
      <c r="AA120" s="38">
        <v>0</v>
      </c>
      <c r="AB120" s="207">
        <v>0</v>
      </c>
      <c r="AC120" s="38">
        <v>0</v>
      </c>
      <c r="AD120" s="208">
        <v>0</v>
      </c>
      <c r="AE120" s="113" t="s">
        <v>484</v>
      </c>
      <c r="AF120" s="66" t="s">
        <v>535</v>
      </c>
      <c r="AG120" s="318" t="s">
        <v>608</v>
      </c>
      <c r="AH120" s="210" t="s">
        <v>514</v>
      </c>
      <c r="AI120" s="65" t="s">
        <v>514</v>
      </c>
    </row>
    <row r="121" spans="1:35" s="391" customFormat="1" ht="30" x14ac:dyDescent="0.25">
      <c r="A121" s="1118" t="s">
        <v>807</v>
      </c>
      <c r="B121" s="1119" t="s">
        <v>890</v>
      </c>
      <c r="C121" s="524">
        <v>2019</v>
      </c>
      <c r="D121" s="298" t="s">
        <v>969</v>
      </c>
      <c r="E121" s="407" t="s">
        <v>62</v>
      </c>
      <c r="F121" s="407" t="s">
        <v>62</v>
      </c>
      <c r="G121" s="1024" t="s">
        <v>808</v>
      </c>
      <c r="H121" s="300">
        <v>7752</v>
      </c>
      <c r="I121" s="300">
        <v>6465.3118300000006</v>
      </c>
      <c r="J121" s="299">
        <v>372.3612</v>
      </c>
      <c r="K121" s="1916">
        <v>0</v>
      </c>
      <c r="L121" s="1545">
        <v>863.65485000000001</v>
      </c>
      <c r="M121" s="1544">
        <v>0</v>
      </c>
      <c r="N121" s="927">
        <v>75.988</v>
      </c>
      <c r="O121" s="528">
        <f>3716.80003-2554.11186-75.988-790.32697</f>
        <v>296.37319999999988</v>
      </c>
      <c r="P121" s="527">
        <v>0</v>
      </c>
      <c r="Q121" s="527">
        <f>74+790.32697</f>
        <v>864.32696999999996</v>
      </c>
      <c r="R121" s="1546">
        <v>1236.6881700000004</v>
      </c>
      <c r="S121" s="1547">
        <v>0</v>
      </c>
      <c r="T121" s="1546">
        <f t="shared" si="11"/>
        <v>1236.6881700000004</v>
      </c>
      <c r="U121" s="927">
        <v>50</v>
      </c>
      <c r="V121" s="527">
        <v>0</v>
      </c>
      <c r="W121" s="527">
        <v>0</v>
      </c>
      <c r="X121" s="528">
        <v>0</v>
      </c>
      <c r="Y121" s="1187">
        <v>50</v>
      </c>
      <c r="Z121" s="990">
        <v>0</v>
      </c>
      <c r="AA121" s="528">
        <v>0</v>
      </c>
      <c r="AB121" s="527">
        <v>0</v>
      </c>
      <c r="AC121" s="528">
        <v>0</v>
      </c>
      <c r="AD121" s="1674">
        <v>0</v>
      </c>
      <c r="AE121" s="280" t="s">
        <v>1343</v>
      </c>
      <c r="AF121" s="298" t="s">
        <v>43</v>
      </c>
      <c r="AG121" s="1121" t="s">
        <v>732</v>
      </c>
      <c r="AH121" s="991" t="s">
        <v>514</v>
      </c>
      <c r="AI121" s="992" t="s">
        <v>514</v>
      </c>
    </row>
    <row r="122" spans="1:35" s="385" customFormat="1" ht="30" x14ac:dyDescent="0.25">
      <c r="A122" s="745" t="s">
        <v>809</v>
      </c>
      <c r="B122" s="746" t="s">
        <v>889</v>
      </c>
      <c r="C122" s="134">
        <v>2019</v>
      </c>
      <c r="D122" s="66" t="s">
        <v>969</v>
      </c>
      <c r="E122" s="67" t="s">
        <v>62</v>
      </c>
      <c r="F122" s="67" t="s">
        <v>62</v>
      </c>
      <c r="G122" s="145" t="s">
        <v>810</v>
      </c>
      <c r="H122" s="21">
        <f>7134-1</f>
        <v>7133</v>
      </c>
      <c r="I122" s="21">
        <v>5968.3934600000002</v>
      </c>
      <c r="J122" s="36">
        <v>1164.6881900000001</v>
      </c>
      <c r="K122" s="1994">
        <v>0</v>
      </c>
      <c r="L122" s="1256">
        <v>0</v>
      </c>
      <c r="M122" s="1255">
        <v>0</v>
      </c>
      <c r="N122" s="269">
        <f>1165+397.59794-396.9914-0.91835-0.08165</f>
        <v>1164.6065400000002</v>
      </c>
      <c r="O122" s="38">
        <v>0</v>
      </c>
      <c r="P122" s="207">
        <v>0</v>
      </c>
      <c r="Q122" s="38">
        <v>0</v>
      </c>
      <c r="R122" s="1550">
        <v>1164.60654</v>
      </c>
      <c r="S122" s="494">
        <v>0</v>
      </c>
      <c r="T122" s="1550">
        <f t="shared" si="11"/>
        <v>1164.60654</v>
      </c>
      <c r="U122" s="269">
        <v>0</v>
      </c>
      <c r="V122" s="207">
        <v>0</v>
      </c>
      <c r="W122" s="207">
        <v>0</v>
      </c>
      <c r="X122" s="38">
        <v>0</v>
      </c>
      <c r="Y122" s="109">
        <v>0</v>
      </c>
      <c r="Z122" s="23">
        <v>0</v>
      </c>
      <c r="AA122" s="38">
        <v>0</v>
      </c>
      <c r="AB122" s="207">
        <v>0</v>
      </c>
      <c r="AC122" s="38">
        <v>0</v>
      </c>
      <c r="AD122" s="208">
        <v>0</v>
      </c>
      <c r="AE122" s="113" t="s">
        <v>484</v>
      </c>
      <c r="AF122" s="66" t="s">
        <v>535</v>
      </c>
      <c r="AG122" s="210" t="s">
        <v>608</v>
      </c>
      <c r="AH122" s="210" t="s">
        <v>514</v>
      </c>
      <c r="AI122" s="65" t="s">
        <v>514</v>
      </c>
    </row>
    <row r="123" spans="1:35" s="678" customFormat="1" ht="25.5" x14ac:dyDescent="0.25">
      <c r="A123" s="745" t="s">
        <v>811</v>
      </c>
      <c r="B123" s="746" t="s">
        <v>980</v>
      </c>
      <c r="C123" s="134">
        <v>2019</v>
      </c>
      <c r="D123" s="66" t="s">
        <v>969</v>
      </c>
      <c r="E123" s="67" t="s">
        <v>62</v>
      </c>
      <c r="F123" s="67" t="s">
        <v>62</v>
      </c>
      <c r="G123" s="145" t="s">
        <v>812</v>
      </c>
      <c r="H123" s="21">
        <v>2695.9869899999999</v>
      </c>
      <c r="I123" s="21">
        <v>2118.2503099999999</v>
      </c>
      <c r="J123" s="36">
        <v>577.73667999999998</v>
      </c>
      <c r="K123" s="1994">
        <v>0</v>
      </c>
      <c r="L123" s="1256">
        <v>0</v>
      </c>
      <c r="M123" s="1255">
        <v>0</v>
      </c>
      <c r="N123" s="269">
        <f>531+2418-2118.25031-253.01301</f>
        <v>577.73668000000009</v>
      </c>
      <c r="O123" s="38">
        <v>0</v>
      </c>
      <c r="P123" s="207">
        <v>0</v>
      </c>
      <c r="Q123" s="38">
        <v>0</v>
      </c>
      <c r="R123" s="1550">
        <v>577.73667999999998</v>
      </c>
      <c r="S123" s="494">
        <v>0</v>
      </c>
      <c r="T123" s="1550">
        <f t="shared" si="11"/>
        <v>577.73667999999998</v>
      </c>
      <c r="U123" s="269">
        <v>0</v>
      </c>
      <c r="V123" s="207">
        <v>0</v>
      </c>
      <c r="W123" s="207">
        <v>0</v>
      </c>
      <c r="X123" s="38">
        <v>0</v>
      </c>
      <c r="Y123" s="109">
        <v>0</v>
      </c>
      <c r="Z123" s="23">
        <v>0</v>
      </c>
      <c r="AA123" s="38">
        <v>0</v>
      </c>
      <c r="AB123" s="207">
        <v>0</v>
      </c>
      <c r="AC123" s="38">
        <v>0</v>
      </c>
      <c r="AD123" s="208">
        <v>0</v>
      </c>
      <c r="AE123" s="113" t="s">
        <v>484</v>
      </c>
      <c r="AF123" s="66" t="s">
        <v>535</v>
      </c>
      <c r="AG123" s="318" t="s">
        <v>523</v>
      </c>
      <c r="AH123" s="210" t="s">
        <v>514</v>
      </c>
      <c r="AI123" s="65" t="s">
        <v>514</v>
      </c>
    </row>
    <row r="124" spans="1:35" s="388" customFormat="1" ht="30" x14ac:dyDescent="0.25">
      <c r="A124" s="745" t="s">
        <v>813</v>
      </c>
      <c r="B124" s="746" t="s">
        <v>981</v>
      </c>
      <c r="C124" s="134">
        <v>2019</v>
      </c>
      <c r="D124" s="66" t="s">
        <v>969</v>
      </c>
      <c r="E124" s="67" t="s">
        <v>62</v>
      </c>
      <c r="F124" s="67" t="s">
        <v>62</v>
      </c>
      <c r="G124" s="145" t="s">
        <v>814</v>
      </c>
      <c r="H124" s="21">
        <v>2276.6970999999999</v>
      </c>
      <c r="I124" s="21">
        <v>1501.6971000000001</v>
      </c>
      <c r="J124" s="36">
        <v>0</v>
      </c>
      <c r="K124" s="1994">
        <v>0</v>
      </c>
      <c r="L124" s="1256">
        <v>774.00027</v>
      </c>
      <c r="M124" s="1255">
        <v>0</v>
      </c>
      <c r="N124" s="269">
        <v>0</v>
      </c>
      <c r="O124" s="38">
        <v>0</v>
      </c>
      <c r="P124" s="207">
        <v>0</v>
      </c>
      <c r="Q124" s="207">
        <v>775</v>
      </c>
      <c r="R124" s="1550">
        <v>775</v>
      </c>
      <c r="S124" s="494">
        <v>0</v>
      </c>
      <c r="T124" s="1550">
        <f t="shared" si="11"/>
        <v>775</v>
      </c>
      <c r="U124" s="269">
        <v>0</v>
      </c>
      <c r="V124" s="207">
        <v>0</v>
      </c>
      <c r="W124" s="207">
        <v>0</v>
      </c>
      <c r="X124" s="38">
        <v>0</v>
      </c>
      <c r="Y124" s="109">
        <v>0</v>
      </c>
      <c r="Z124" s="23">
        <v>0</v>
      </c>
      <c r="AA124" s="38">
        <v>0</v>
      </c>
      <c r="AB124" s="207">
        <v>0</v>
      </c>
      <c r="AC124" s="38">
        <v>0</v>
      </c>
      <c r="AD124" s="208">
        <v>0</v>
      </c>
      <c r="AE124" s="113" t="s">
        <v>484</v>
      </c>
      <c r="AF124" s="66" t="s">
        <v>535</v>
      </c>
      <c r="AG124" s="318" t="s">
        <v>523</v>
      </c>
      <c r="AH124" s="210" t="s">
        <v>514</v>
      </c>
      <c r="AI124" s="65" t="s">
        <v>514</v>
      </c>
    </row>
    <row r="125" spans="1:35" ht="25.5" x14ac:dyDescent="0.25">
      <c r="A125" s="1184" t="s">
        <v>815</v>
      </c>
      <c r="B125" s="1185" t="s">
        <v>982</v>
      </c>
      <c r="C125" s="591">
        <v>2019</v>
      </c>
      <c r="D125" s="454" t="s">
        <v>969</v>
      </c>
      <c r="E125" s="576" t="s">
        <v>62</v>
      </c>
      <c r="F125" s="576" t="s">
        <v>62</v>
      </c>
      <c r="G125" s="1027" t="s">
        <v>816</v>
      </c>
      <c r="H125" s="551">
        <v>2806.5693300000003</v>
      </c>
      <c r="I125" s="551">
        <v>2206.3874900000001</v>
      </c>
      <c r="J125" s="552">
        <v>0</v>
      </c>
      <c r="K125" s="1901">
        <v>0</v>
      </c>
      <c r="L125" s="1539">
        <v>0</v>
      </c>
      <c r="M125" s="1538">
        <v>0</v>
      </c>
      <c r="N125" s="919">
        <v>0</v>
      </c>
      <c r="O125" s="1096">
        <v>0</v>
      </c>
      <c r="P125" s="920">
        <v>0</v>
      </c>
      <c r="Q125" s="547">
        <v>0</v>
      </c>
      <c r="R125" s="1449">
        <v>600.18183999999997</v>
      </c>
      <c r="S125" s="1450">
        <v>-600.18183999999997</v>
      </c>
      <c r="T125" s="1449">
        <f t="shared" si="11"/>
        <v>0</v>
      </c>
      <c r="U125" s="919">
        <v>600.18183999999997</v>
      </c>
      <c r="V125" s="920">
        <v>0</v>
      </c>
      <c r="W125" s="920">
        <v>0</v>
      </c>
      <c r="X125" s="547">
        <v>0</v>
      </c>
      <c r="Y125" s="1129">
        <v>600.18183999999997</v>
      </c>
      <c r="Z125" s="578">
        <v>0</v>
      </c>
      <c r="AA125" s="547">
        <v>0</v>
      </c>
      <c r="AB125" s="920">
        <v>0</v>
      </c>
      <c r="AC125" s="547">
        <v>0</v>
      </c>
      <c r="AD125" s="1468">
        <v>0</v>
      </c>
      <c r="AE125" s="574" t="s">
        <v>1344</v>
      </c>
      <c r="AF125" s="454" t="s">
        <v>43</v>
      </c>
      <c r="AG125" s="1131" t="s">
        <v>616</v>
      </c>
      <c r="AH125" s="996" t="s">
        <v>514</v>
      </c>
      <c r="AI125" s="555" t="s">
        <v>514</v>
      </c>
    </row>
    <row r="126" spans="1:35" s="388" customFormat="1" ht="25.5" x14ac:dyDescent="0.25">
      <c r="A126" s="529" t="s">
        <v>817</v>
      </c>
      <c r="B126" s="434" t="s">
        <v>1229</v>
      </c>
      <c r="C126" s="541">
        <v>2019</v>
      </c>
      <c r="D126" s="382" t="s">
        <v>969</v>
      </c>
      <c r="E126" s="530" t="s">
        <v>62</v>
      </c>
      <c r="F126" s="530" t="s">
        <v>62</v>
      </c>
      <c r="G126" s="1229" t="s">
        <v>818</v>
      </c>
      <c r="H126" s="383">
        <f>1909.67524-769</f>
        <v>1140.67524</v>
      </c>
      <c r="I126" s="383">
        <v>0</v>
      </c>
      <c r="J126" s="436">
        <v>0</v>
      </c>
      <c r="K126" s="1994">
        <v>1141.08745</v>
      </c>
      <c r="L126" s="1542">
        <v>0</v>
      </c>
      <c r="M126" s="1541">
        <v>0</v>
      </c>
      <c r="N126" s="713"/>
      <c r="O126" s="532">
        <v>0</v>
      </c>
      <c r="P126" s="533">
        <f>1909.67524-769+0.41221</f>
        <v>1141.08745</v>
      </c>
      <c r="Q126" s="532">
        <f>0-0.41221</f>
        <v>-0.41221000000000002</v>
      </c>
      <c r="R126" s="1543">
        <v>1909.67524</v>
      </c>
      <c r="S126" s="737">
        <v>-769</v>
      </c>
      <c r="T126" s="1543">
        <f t="shared" si="11"/>
        <v>1140.67524</v>
      </c>
      <c r="U126" s="713">
        <v>0</v>
      </c>
      <c r="V126" s="533">
        <v>0</v>
      </c>
      <c r="W126" s="533">
        <v>0</v>
      </c>
      <c r="X126" s="532">
        <v>0</v>
      </c>
      <c r="Y126" s="1186">
        <v>0</v>
      </c>
      <c r="Z126" s="531">
        <v>0</v>
      </c>
      <c r="AA126" s="532">
        <v>0</v>
      </c>
      <c r="AB126" s="533">
        <v>0</v>
      </c>
      <c r="AC126" s="532">
        <v>0</v>
      </c>
      <c r="AD126" s="2074">
        <v>0</v>
      </c>
      <c r="AE126" s="384" t="s">
        <v>1345</v>
      </c>
      <c r="AF126" s="382" t="s">
        <v>535</v>
      </c>
      <c r="AG126" s="595" t="s">
        <v>540</v>
      </c>
      <c r="AH126" s="566" t="s">
        <v>514</v>
      </c>
      <c r="AI126" s="565" t="s">
        <v>513</v>
      </c>
    </row>
    <row r="127" spans="1:35" s="678" customFormat="1" ht="25.5" x14ac:dyDescent="0.25">
      <c r="A127" s="127" t="s">
        <v>819</v>
      </c>
      <c r="B127" s="114" t="s">
        <v>1107</v>
      </c>
      <c r="C127" s="134">
        <v>2019</v>
      </c>
      <c r="D127" s="66" t="s">
        <v>969</v>
      </c>
      <c r="E127" s="67" t="s">
        <v>62</v>
      </c>
      <c r="F127" s="67" t="s">
        <v>62</v>
      </c>
      <c r="G127" s="736" t="s">
        <v>820</v>
      </c>
      <c r="H127" s="301">
        <f>5686-0.35243</f>
        <v>5685.6475700000001</v>
      </c>
      <c r="I127" s="21">
        <v>0</v>
      </c>
      <c r="J127" s="36">
        <v>5685.6475700000001</v>
      </c>
      <c r="K127" s="1994">
        <v>0</v>
      </c>
      <c r="L127" s="1256">
        <v>0</v>
      </c>
      <c r="M127" s="1255">
        <v>0</v>
      </c>
      <c r="N127" s="269">
        <f>5685.64757</f>
        <v>5685.6475700000001</v>
      </c>
      <c r="O127" s="38">
        <v>0</v>
      </c>
      <c r="P127" s="207">
        <v>0</v>
      </c>
      <c r="Q127" s="38">
        <v>0</v>
      </c>
      <c r="R127" s="1550">
        <v>5685.6475700000001</v>
      </c>
      <c r="S127" s="494">
        <v>0</v>
      </c>
      <c r="T127" s="1550">
        <f t="shared" si="11"/>
        <v>5685.6475700000001</v>
      </c>
      <c r="U127" s="269">
        <v>0</v>
      </c>
      <c r="V127" s="207">
        <v>0</v>
      </c>
      <c r="W127" s="207">
        <v>0</v>
      </c>
      <c r="X127" s="38">
        <v>0</v>
      </c>
      <c r="Y127" s="109">
        <v>0</v>
      </c>
      <c r="Z127" s="23">
        <v>0</v>
      </c>
      <c r="AA127" s="38">
        <v>0</v>
      </c>
      <c r="AB127" s="207">
        <v>0</v>
      </c>
      <c r="AC127" s="38">
        <v>0</v>
      </c>
      <c r="AD127" s="208">
        <v>0</v>
      </c>
      <c r="AE127" s="113" t="s">
        <v>484</v>
      </c>
      <c r="AF127" s="66" t="s">
        <v>535</v>
      </c>
      <c r="AG127" s="318" t="s">
        <v>523</v>
      </c>
      <c r="AH127" s="210" t="s">
        <v>514</v>
      </c>
      <c r="AI127" s="65" t="s">
        <v>514</v>
      </c>
    </row>
    <row r="128" spans="1:35" s="388" customFormat="1" ht="30" x14ac:dyDescent="0.25">
      <c r="A128" s="127" t="s">
        <v>821</v>
      </c>
      <c r="B128" s="114" t="s">
        <v>1106</v>
      </c>
      <c r="C128" s="134">
        <v>2019</v>
      </c>
      <c r="D128" s="66" t="s">
        <v>969</v>
      </c>
      <c r="E128" s="67" t="s">
        <v>62</v>
      </c>
      <c r="F128" s="67" t="s">
        <v>62</v>
      </c>
      <c r="G128" s="145" t="s">
        <v>822</v>
      </c>
      <c r="H128" s="21">
        <v>6412.6095299999997</v>
      </c>
      <c r="I128" s="21">
        <v>0</v>
      </c>
      <c r="J128" s="36">
        <v>6412.6095299999997</v>
      </c>
      <c r="K128" s="1994">
        <v>0</v>
      </c>
      <c r="L128" s="1256">
        <v>0</v>
      </c>
      <c r="M128" s="1255">
        <v>0</v>
      </c>
      <c r="N128" s="269">
        <f>6338.19555+74.41398</f>
        <v>6412.6095300000006</v>
      </c>
      <c r="O128" s="38">
        <v>0</v>
      </c>
      <c r="P128" s="207">
        <v>0</v>
      </c>
      <c r="Q128" s="38">
        <v>0</v>
      </c>
      <c r="R128" s="1550">
        <v>6412.6095299999997</v>
      </c>
      <c r="S128" s="494">
        <v>0</v>
      </c>
      <c r="T128" s="1550">
        <f t="shared" si="11"/>
        <v>6412.6095299999997</v>
      </c>
      <c r="U128" s="269">
        <v>0</v>
      </c>
      <c r="V128" s="207">
        <v>0</v>
      </c>
      <c r="W128" s="207">
        <v>0</v>
      </c>
      <c r="X128" s="38">
        <v>0</v>
      </c>
      <c r="Y128" s="109">
        <v>0</v>
      </c>
      <c r="Z128" s="23">
        <v>0</v>
      </c>
      <c r="AA128" s="38">
        <v>0</v>
      </c>
      <c r="AB128" s="207">
        <v>0</v>
      </c>
      <c r="AC128" s="38">
        <v>0</v>
      </c>
      <c r="AD128" s="208">
        <v>0</v>
      </c>
      <c r="AE128" s="113" t="s">
        <v>484</v>
      </c>
      <c r="AF128" s="66" t="s">
        <v>535</v>
      </c>
      <c r="AG128" s="318" t="s">
        <v>523</v>
      </c>
      <c r="AH128" s="210" t="s">
        <v>514</v>
      </c>
      <c r="AI128" s="65" t="s">
        <v>514</v>
      </c>
    </row>
    <row r="129" spans="1:35" ht="25.5" x14ac:dyDescent="0.25">
      <c r="A129" s="993" t="s">
        <v>823</v>
      </c>
      <c r="B129" s="945" t="s">
        <v>494</v>
      </c>
      <c r="C129" s="591">
        <v>2019</v>
      </c>
      <c r="D129" s="454" t="s">
        <v>969</v>
      </c>
      <c r="E129" s="576" t="s">
        <v>62</v>
      </c>
      <c r="F129" s="576" t="s">
        <v>62</v>
      </c>
      <c r="G129" s="1609" t="s">
        <v>824</v>
      </c>
      <c r="H129" s="551">
        <v>3681.58835</v>
      </c>
      <c r="I129" s="551">
        <v>0</v>
      </c>
      <c r="J129" s="552">
        <v>0</v>
      </c>
      <c r="K129" s="1901">
        <v>0</v>
      </c>
      <c r="L129" s="1539">
        <v>0</v>
      </c>
      <c r="M129" s="1538">
        <v>0</v>
      </c>
      <c r="N129" s="919">
        <v>0</v>
      </c>
      <c r="O129" s="917">
        <v>0</v>
      </c>
      <c r="P129" s="918">
        <v>0</v>
      </c>
      <c r="Q129" s="547">
        <v>0</v>
      </c>
      <c r="R129" s="1449">
        <v>3681.58835</v>
      </c>
      <c r="S129" s="1450">
        <v>-3681.58835</v>
      </c>
      <c r="T129" s="1449">
        <f t="shared" si="11"/>
        <v>0</v>
      </c>
      <c r="U129" s="919">
        <v>0</v>
      </c>
      <c r="V129" s="920">
        <v>0</v>
      </c>
      <c r="W129" s="920">
        <v>0</v>
      </c>
      <c r="X129" s="547">
        <v>3681.58835</v>
      </c>
      <c r="Y129" s="578">
        <v>3681.58835</v>
      </c>
      <c r="Z129" s="578">
        <v>0</v>
      </c>
      <c r="AA129" s="547">
        <v>0</v>
      </c>
      <c r="AB129" s="920">
        <v>0</v>
      </c>
      <c r="AC129" s="547">
        <v>0</v>
      </c>
      <c r="AD129" s="1468">
        <v>0</v>
      </c>
      <c r="AE129" s="574" t="s">
        <v>1346</v>
      </c>
      <c r="AF129" s="454" t="s">
        <v>43</v>
      </c>
      <c r="AG129" s="1131" t="s">
        <v>1006</v>
      </c>
      <c r="AH129" s="996" t="s">
        <v>514</v>
      </c>
      <c r="AI129" s="555" t="s">
        <v>514</v>
      </c>
    </row>
    <row r="130" spans="1:35" s="388" customFormat="1" ht="25.5" x14ac:dyDescent="0.25">
      <c r="A130" s="127" t="s">
        <v>825</v>
      </c>
      <c r="B130" s="114" t="s">
        <v>1219</v>
      </c>
      <c r="C130" s="134">
        <v>2019</v>
      </c>
      <c r="D130" s="66" t="s">
        <v>969</v>
      </c>
      <c r="E130" s="67" t="s">
        <v>62</v>
      </c>
      <c r="F130" s="67" t="s">
        <v>62</v>
      </c>
      <c r="G130" s="736" t="s">
        <v>826</v>
      </c>
      <c r="H130" s="21">
        <v>1766.7815000000001</v>
      </c>
      <c r="I130" s="21">
        <v>0</v>
      </c>
      <c r="J130" s="36">
        <v>1766.7815000000001</v>
      </c>
      <c r="K130" s="1994">
        <v>0</v>
      </c>
      <c r="L130" s="1256">
        <v>0</v>
      </c>
      <c r="M130" s="1255">
        <v>0</v>
      </c>
      <c r="N130" s="268">
        <v>0</v>
      </c>
      <c r="O130" s="335">
        <v>1766.7815000000001</v>
      </c>
      <c r="P130" s="207">
        <v>0</v>
      </c>
      <c r="Q130" s="38">
        <v>0</v>
      </c>
      <c r="R130" s="1550">
        <v>1766.7815000000001</v>
      </c>
      <c r="S130" s="494">
        <v>0</v>
      </c>
      <c r="T130" s="1550">
        <f t="shared" si="11"/>
        <v>1766.7815000000001</v>
      </c>
      <c r="U130" s="269">
        <v>0</v>
      </c>
      <c r="V130" s="207">
        <v>0</v>
      </c>
      <c r="W130" s="207">
        <v>0</v>
      </c>
      <c r="X130" s="38">
        <v>0</v>
      </c>
      <c r="Y130" s="109">
        <v>0</v>
      </c>
      <c r="Z130" s="23">
        <v>0</v>
      </c>
      <c r="AA130" s="38">
        <v>0</v>
      </c>
      <c r="AB130" s="207">
        <v>0</v>
      </c>
      <c r="AC130" s="38">
        <v>0</v>
      </c>
      <c r="AD130" s="208">
        <v>0</v>
      </c>
      <c r="AE130" s="113" t="s">
        <v>484</v>
      </c>
      <c r="AF130" s="66" t="s">
        <v>535</v>
      </c>
      <c r="AG130" s="318" t="s">
        <v>531</v>
      </c>
      <c r="AH130" s="210" t="s">
        <v>514</v>
      </c>
      <c r="AI130" s="65" t="s">
        <v>514</v>
      </c>
    </row>
    <row r="131" spans="1:35" ht="30" x14ac:dyDescent="0.25">
      <c r="A131" s="993" t="s">
        <v>827</v>
      </c>
      <c r="B131" s="945" t="s">
        <v>494</v>
      </c>
      <c r="C131" s="591">
        <v>2019</v>
      </c>
      <c r="D131" s="454" t="s">
        <v>969</v>
      </c>
      <c r="E131" s="1095" t="s">
        <v>62</v>
      </c>
      <c r="F131" s="576" t="s">
        <v>62</v>
      </c>
      <c r="G131" s="1027" t="s">
        <v>1175</v>
      </c>
      <c r="H131" s="551">
        <v>7712.6319599999997</v>
      </c>
      <c r="I131" s="551">
        <v>0</v>
      </c>
      <c r="J131" s="552">
        <v>0</v>
      </c>
      <c r="K131" s="1901">
        <v>0</v>
      </c>
      <c r="L131" s="1539">
        <v>0</v>
      </c>
      <c r="M131" s="1538">
        <v>0</v>
      </c>
      <c r="N131" s="919">
        <v>0</v>
      </c>
      <c r="O131" s="917">
        <v>0</v>
      </c>
      <c r="P131" s="918">
        <v>0</v>
      </c>
      <c r="Q131" s="547">
        <v>0</v>
      </c>
      <c r="R131" s="1449">
        <v>7712.6319599999997</v>
      </c>
      <c r="S131" s="1450">
        <v>-7712.6319599999997</v>
      </c>
      <c r="T131" s="1449">
        <f t="shared" si="11"/>
        <v>0</v>
      </c>
      <c r="U131" s="919">
        <v>0</v>
      </c>
      <c r="V131" s="920">
        <v>0</v>
      </c>
      <c r="W131" s="920">
        <v>0</v>
      </c>
      <c r="X131" s="547">
        <v>7712.6319599999997</v>
      </c>
      <c r="Y131" s="578">
        <v>7712.6319599999997</v>
      </c>
      <c r="Z131" s="578">
        <v>0</v>
      </c>
      <c r="AA131" s="547">
        <v>0</v>
      </c>
      <c r="AB131" s="920">
        <v>0</v>
      </c>
      <c r="AC131" s="547">
        <v>0</v>
      </c>
      <c r="AD131" s="1468">
        <v>0</v>
      </c>
      <c r="AE131" s="574" t="s">
        <v>1347</v>
      </c>
      <c r="AF131" s="454" t="s">
        <v>43</v>
      </c>
      <c r="AG131" s="1131" t="s">
        <v>1006</v>
      </c>
      <c r="AH131" s="996" t="s">
        <v>514</v>
      </c>
      <c r="AI131" s="555" t="s">
        <v>514</v>
      </c>
    </row>
    <row r="132" spans="1:35" s="678" customFormat="1" ht="30" x14ac:dyDescent="0.25">
      <c r="A132" s="745" t="s">
        <v>828</v>
      </c>
      <c r="B132" s="746" t="s">
        <v>984</v>
      </c>
      <c r="C132" s="134">
        <v>2019</v>
      </c>
      <c r="D132" s="66" t="s">
        <v>969</v>
      </c>
      <c r="E132" s="67" t="s">
        <v>62</v>
      </c>
      <c r="F132" s="67" t="s">
        <v>62</v>
      </c>
      <c r="G132" s="145" t="s">
        <v>829</v>
      </c>
      <c r="H132" s="21">
        <v>3600.6206299999999</v>
      </c>
      <c r="I132" s="21">
        <v>2761.5522299999998</v>
      </c>
      <c r="J132" s="21">
        <v>839.0684</v>
      </c>
      <c r="K132" s="1994">
        <v>0</v>
      </c>
      <c r="L132" s="166">
        <v>0</v>
      </c>
      <c r="M132" s="1257">
        <v>0</v>
      </c>
      <c r="N132" s="268">
        <v>0</v>
      </c>
      <c r="O132" s="335">
        <f>3300+540-2761.55223- 239.37937</f>
        <v>839.06840000000022</v>
      </c>
      <c r="P132" s="207">
        <v>0</v>
      </c>
      <c r="Q132" s="38">
        <v>0</v>
      </c>
      <c r="R132" s="1550">
        <v>839.0684</v>
      </c>
      <c r="S132" s="494">
        <v>0</v>
      </c>
      <c r="T132" s="1550">
        <f t="shared" si="11"/>
        <v>839.0684</v>
      </c>
      <c r="U132" s="269">
        <v>0</v>
      </c>
      <c r="V132" s="207">
        <v>0</v>
      </c>
      <c r="W132" s="207">
        <v>0</v>
      </c>
      <c r="X132" s="38">
        <v>0</v>
      </c>
      <c r="Y132" s="109">
        <v>0</v>
      </c>
      <c r="Z132" s="23">
        <v>0</v>
      </c>
      <c r="AA132" s="38">
        <v>0</v>
      </c>
      <c r="AB132" s="207">
        <v>0</v>
      </c>
      <c r="AC132" s="38">
        <v>0</v>
      </c>
      <c r="AD132" s="208">
        <v>0</v>
      </c>
      <c r="AE132" s="113" t="s">
        <v>484</v>
      </c>
      <c r="AF132" s="66" t="s">
        <v>535</v>
      </c>
      <c r="AG132" s="318" t="s">
        <v>531</v>
      </c>
      <c r="AH132" s="210" t="s">
        <v>514</v>
      </c>
      <c r="AI132" s="65" t="s">
        <v>514</v>
      </c>
    </row>
    <row r="133" spans="1:35" ht="25.5" x14ac:dyDescent="0.25">
      <c r="A133" s="62" t="s">
        <v>830</v>
      </c>
      <c r="B133" s="85" t="s">
        <v>494</v>
      </c>
      <c r="C133" s="133">
        <v>2019</v>
      </c>
      <c r="D133" s="5" t="s">
        <v>969</v>
      </c>
      <c r="E133" s="63" t="s">
        <v>62</v>
      </c>
      <c r="F133" s="63" t="s">
        <v>62</v>
      </c>
      <c r="G133" s="428" t="s">
        <v>831</v>
      </c>
      <c r="H133" s="16">
        <v>6054.4479600000004</v>
      </c>
      <c r="I133" s="16">
        <v>0</v>
      </c>
      <c r="J133" s="24">
        <v>0</v>
      </c>
      <c r="K133" s="412">
        <v>0</v>
      </c>
      <c r="L133" s="1252">
        <v>0</v>
      </c>
      <c r="M133" s="1251">
        <v>0</v>
      </c>
      <c r="N133" s="850">
        <v>0</v>
      </c>
      <c r="O133" s="422">
        <v>0</v>
      </c>
      <c r="P133" s="1237">
        <v>0</v>
      </c>
      <c r="Q133" s="1237">
        <f>6054+0.44796</f>
        <v>6054.4479600000004</v>
      </c>
      <c r="R133" s="1268">
        <v>6054.4479600000004</v>
      </c>
      <c r="S133" s="1269">
        <v>0</v>
      </c>
      <c r="T133" s="1268">
        <f t="shared" si="11"/>
        <v>6054.4479600000004</v>
      </c>
      <c r="U133" s="850">
        <v>0</v>
      </c>
      <c r="V133" s="201">
        <v>0</v>
      </c>
      <c r="W133" s="201">
        <v>0</v>
      </c>
      <c r="X133" s="29">
        <v>0</v>
      </c>
      <c r="Y133" s="395">
        <v>0</v>
      </c>
      <c r="Z133" s="18">
        <v>0</v>
      </c>
      <c r="AA133" s="29">
        <v>0</v>
      </c>
      <c r="AB133" s="201">
        <v>0</v>
      </c>
      <c r="AC133" s="29">
        <v>0</v>
      </c>
      <c r="AD133" s="2073">
        <v>0</v>
      </c>
      <c r="AE133" s="52" t="s">
        <v>484</v>
      </c>
      <c r="AF133" s="5" t="s">
        <v>43</v>
      </c>
      <c r="AG133" s="246" t="s">
        <v>208</v>
      </c>
      <c r="AH133" s="193" t="s">
        <v>514</v>
      </c>
      <c r="AI133" s="104" t="s">
        <v>514</v>
      </c>
    </row>
    <row r="134" spans="1:35" ht="25.5" x14ac:dyDescent="0.25">
      <c r="A134" s="62" t="s">
        <v>832</v>
      </c>
      <c r="B134" s="85" t="s">
        <v>494</v>
      </c>
      <c r="C134" s="133">
        <v>2019</v>
      </c>
      <c r="D134" s="5" t="s">
        <v>969</v>
      </c>
      <c r="E134" s="63" t="s">
        <v>62</v>
      </c>
      <c r="F134" s="63" t="s">
        <v>62</v>
      </c>
      <c r="G134" s="428" t="s">
        <v>833</v>
      </c>
      <c r="H134" s="16">
        <v>3541.7646199999999</v>
      </c>
      <c r="I134" s="16">
        <v>0</v>
      </c>
      <c r="J134" s="24">
        <v>0</v>
      </c>
      <c r="K134" s="412">
        <v>0</v>
      </c>
      <c r="L134" s="1252">
        <v>0</v>
      </c>
      <c r="M134" s="1251">
        <v>0</v>
      </c>
      <c r="N134" s="850">
        <v>0</v>
      </c>
      <c r="O134" s="422">
        <v>0</v>
      </c>
      <c r="P134" s="1237">
        <v>0</v>
      </c>
      <c r="Q134" s="422">
        <v>0</v>
      </c>
      <c r="R134" s="1268">
        <v>0</v>
      </c>
      <c r="S134" s="1269">
        <v>0</v>
      </c>
      <c r="T134" s="1268">
        <f t="shared" si="11"/>
        <v>0</v>
      </c>
      <c r="U134" s="850">
        <v>0</v>
      </c>
      <c r="V134" s="201">
        <v>0</v>
      </c>
      <c r="W134" s="201">
        <v>3541.7646199999999</v>
      </c>
      <c r="X134" s="29">
        <v>0</v>
      </c>
      <c r="Y134" s="395">
        <v>3541.7646199999999</v>
      </c>
      <c r="Z134" s="18">
        <v>0</v>
      </c>
      <c r="AA134" s="29">
        <v>0</v>
      </c>
      <c r="AB134" s="201">
        <v>0</v>
      </c>
      <c r="AC134" s="29">
        <v>0</v>
      </c>
      <c r="AD134" s="1231">
        <v>0</v>
      </c>
      <c r="AE134" s="119" t="s">
        <v>484</v>
      </c>
      <c r="AF134" s="5" t="s">
        <v>19</v>
      </c>
      <c r="AG134" s="246" t="s">
        <v>1008</v>
      </c>
      <c r="AH134" s="193" t="s">
        <v>514</v>
      </c>
      <c r="AI134" s="104" t="s">
        <v>513</v>
      </c>
    </row>
    <row r="135" spans="1:35" ht="26.25" thickBot="1" x14ac:dyDescent="0.3">
      <c r="A135" s="1012" t="s">
        <v>834</v>
      </c>
      <c r="B135" s="949" t="s">
        <v>494</v>
      </c>
      <c r="C135" s="1610">
        <v>2019</v>
      </c>
      <c r="D135" s="582" t="s">
        <v>969</v>
      </c>
      <c r="E135" s="1097" t="s">
        <v>62</v>
      </c>
      <c r="F135" s="1097" t="s">
        <v>62</v>
      </c>
      <c r="G135" s="1189" t="s">
        <v>835</v>
      </c>
      <c r="H135" s="583">
        <v>2033.80612</v>
      </c>
      <c r="I135" s="583">
        <v>0</v>
      </c>
      <c r="J135" s="583">
        <v>0</v>
      </c>
      <c r="K135" s="1906">
        <v>0</v>
      </c>
      <c r="L135" s="1459">
        <v>0</v>
      </c>
      <c r="M135" s="1458">
        <v>0</v>
      </c>
      <c r="N135" s="955">
        <v>0</v>
      </c>
      <c r="O135" s="1038">
        <v>0</v>
      </c>
      <c r="P135" s="956">
        <v>0</v>
      </c>
      <c r="Q135" s="1038">
        <v>0</v>
      </c>
      <c r="R135" s="1460">
        <v>2033.80612</v>
      </c>
      <c r="S135" s="1461">
        <v>-2033.80612</v>
      </c>
      <c r="T135" s="1460">
        <f t="shared" si="11"/>
        <v>0</v>
      </c>
      <c r="U135" s="955">
        <v>0</v>
      </c>
      <c r="V135" s="956">
        <v>0</v>
      </c>
      <c r="W135" s="956">
        <v>0</v>
      </c>
      <c r="X135" s="1038">
        <v>0</v>
      </c>
      <c r="Y135" s="1188">
        <v>0</v>
      </c>
      <c r="Z135" s="585">
        <v>2033.80612</v>
      </c>
      <c r="AA135" s="1038">
        <v>0</v>
      </c>
      <c r="AB135" s="956">
        <v>0</v>
      </c>
      <c r="AC135" s="1038">
        <v>0</v>
      </c>
      <c r="AD135" s="1460">
        <v>0</v>
      </c>
      <c r="AE135" s="636" t="s">
        <v>1348</v>
      </c>
      <c r="AF135" s="582" t="s">
        <v>43</v>
      </c>
      <c r="AG135" s="1016" t="s">
        <v>1349</v>
      </c>
      <c r="AH135" s="1015" t="s">
        <v>514</v>
      </c>
      <c r="AI135" s="1016" t="s">
        <v>513</v>
      </c>
    </row>
    <row r="136" spans="1:35" ht="25.5" x14ac:dyDescent="0.25">
      <c r="A136" s="1001" t="s">
        <v>905</v>
      </c>
      <c r="B136" s="1101" t="s">
        <v>1223</v>
      </c>
      <c r="C136" s="1611">
        <v>2020</v>
      </c>
      <c r="D136" s="453" t="s">
        <v>990</v>
      </c>
      <c r="E136" s="1095" t="s">
        <v>65</v>
      </c>
      <c r="F136" s="1095" t="s">
        <v>65</v>
      </c>
      <c r="G136" s="1228" t="s">
        <v>906</v>
      </c>
      <c r="H136" s="543">
        <v>700</v>
      </c>
      <c r="I136" s="543">
        <v>0</v>
      </c>
      <c r="J136" s="544">
        <v>0</v>
      </c>
      <c r="K136" s="1837">
        <v>560</v>
      </c>
      <c r="L136" s="1595">
        <v>0</v>
      </c>
      <c r="M136" s="1594">
        <v>0</v>
      </c>
      <c r="N136" s="1612">
        <v>0</v>
      </c>
      <c r="O136" s="1103">
        <v>0</v>
      </c>
      <c r="P136" s="1103">
        <v>560</v>
      </c>
      <c r="Q136" s="586">
        <v>0</v>
      </c>
      <c r="R136" s="1468">
        <v>700</v>
      </c>
      <c r="S136" s="1469">
        <v>-140</v>
      </c>
      <c r="T136" s="1468">
        <f t="shared" si="11"/>
        <v>560</v>
      </c>
      <c r="U136" s="906">
        <v>0</v>
      </c>
      <c r="V136" s="907">
        <v>0</v>
      </c>
      <c r="W136" s="907">
        <v>140</v>
      </c>
      <c r="X136" s="586">
        <v>0</v>
      </c>
      <c r="Y136" s="1605">
        <v>140</v>
      </c>
      <c r="Z136" s="627">
        <v>0</v>
      </c>
      <c r="AA136" s="586">
        <v>0</v>
      </c>
      <c r="AB136" s="907">
        <v>0</v>
      </c>
      <c r="AC136" s="586">
        <v>0</v>
      </c>
      <c r="AD136" s="1468">
        <v>0</v>
      </c>
      <c r="AE136" s="574" t="s">
        <v>1350</v>
      </c>
      <c r="AF136" s="550" t="s">
        <v>43</v>
      </c>
      <c r="AG136" s="1597" t="s">
        <v>1052</v>
      </c>
      <c r="AH136" s="1047" t="s">
        <v>514</v>
      </c>
      <c r="AI136" s="1048" t="s">
        <v>513</v>
      </c>
    </row>
    <row r="137" spans="1:35" ht="25.5" x14ac:dyDescent="0.25">
      <c r="A137" s="62" t="s">
        <v>907</v>
      </c>
      <c r="B137" s="85" t="s">
        <v>494</v>
      </c>
      <c r="C137" s="346">
        <v>2020</v>
      </c>
      <c r="D137" s="5" t="s">
        <v>990</v>
      </c>
      <c r="E137" s="63" t="s">
        <v>62</v>
      </c>
      <c r="F137" s="63" t="s">
        <v>62</v>
      </c>
      <c r="G137" s="428" t="s">
        <v>908</v>
      </c>
      <c r="H137" s="16">
        <v>200000</v>
      </c>
      <c r="I137" s="16">
        <v>0</v>
      </c>
      <c r="J137" s="24">
        <v>0</v>
      </c>
      <c r="K137" s="412">
        <v>0</v>
      </c>
      <c r="L137" s="1252">
        <v>0</v>
      </c>
      <c r="M137" s="1251">
        <v>0</v>
      </c>
      <c r="N137" s="850">
        <v>0</v>
      </c>
      <c r="O137" s="155">
        <v>0</v>
      </c>
      <c r="P137" s="201">
        <v>0</v>
      </c>
      <c r="Q137" s="29">
        <v>0</v>
      </c>
      <c r="R137" s="1268">
        <v>0</v>
      </c>
      <c r="S137" s="1269">
        <v>0</v>
      </c>
      <c r="T137" s="1268">
        <f t="shared" si="11"/>
        <v>0</v>
      </c>
      <c r="U137" s="850">
        <v>0</v>
      </c>
      <c r="V137" s="201">
        <v>0</v>
      </c>
      <c r="W137" s="201">
        <v>20000</v>
      </c>
      <c r="X137" s="29">
        <v>0</v>
      </c>
      <c r="Y137" s="395">
        <v>20000</v>
      </c>
      <c r="Z137" s="18">
        <v>180000</v>
      </c>
      <c r="AA137" s="29">
        <v>0</v>
      </c>
      <c r="AB137" s="201">
        <v>0</v>
      </c>
      <c r="AC137" s="29">
        <v>0</v>
      </c>
      <c r="AD137" s="1231">
        <v>0</v>
      </c>
      <c r="AE137" s="119" t="s">
        <v>484</v>
      </c>
      <c r="AF137" s="5" t="s">
        <v>19</v>
      </c>
      <c r="AG137" s="246" t="s">
        <v>1010</v>
      </c>
      <c r="AH137" s="193" t="s">
        <v>513</v>
      </c>
      <c r="AI137" s="104" t="s">
        <v>513</v>
      </c>
    </row>
    <row r="138" spans="1:35" s="388" customFormat="1" ht="25.5" x14ac:dyDescent="0.25">
      <c r="A138" s="127" t="s">
        <v>909</v>
      </c>
      <c r="B138" s="114" t="s">
        <v>494</v>
      </c>
      <c r="C138" s="320">
        <v>2020</v>
      </c>
      <c r="D138" s="66" t="s">
        <v>990</v>
      </c>
      <c r="E138" s="69" t="s">
        <v>65</v>
      </c>
      <c r="F138" s="69" t="s">
        <v>65</v>
      </c>
      <c r="G138" s="1150" t="s">
        <v>910</v>
      </c>
      <c r="H138" s="290">
        <v>0</v>
      </c>
      <c r="I138" s="290">
        <v>0</v>
      </c>
      <c r="J138" s="36">
        <v>0</v>
      </c>
      <c r="K138" s="1994">
        <v>0</v>
      </c>
      <c r="L138" s="1256">
        <v>0</v>
      </c>
      <c r="M138" s="1255">
        <v>0</v>
      </c>
      <c r="N138" s="269">
        <v>0</v>
      </c>
      <c r="O138" s="679">
        <v>0</v>
      </c>
      <c r="P138" s="505">
        <v>0</v>
      </c>
      <c r="Q138" s="291">
        <v>0</v>
      </c>
      <c r="R138" s="1550">
        <v>0</v>
      </c>
      <c r="S138" s="494">
        <v>0</v>
      </c>
      <c r="T138" s="1550">
        <f t="shared" si="11"/>
        <v>0</v>
      </c>
      <c r="U138" s="1124">
        <v>0</v>
      </c>
      <c r="V138" s="497">
        <v>0</v>
      </c>
      <c r="W138" s="497">
        <v>0</v>
      </c>
      <c r="X138" s="77">
        <v>0</v>
      </c>
      <c r="Y138" s="306">
        <v>0</v>
      </c>
      <c r="Z138" s="20">
        <v>0</v>
      </c>
      <c r="AA138" s="38">
        <v>0</v>
      </c>
      <c r="AB138" s="207">
        <v>0</v>
      </c>
      <c r="AC138" s="38">
        <v>0</v>
      </c>
      <c r="AD138" s="208">
        <v>0</v>
      </c>
      <c r="AE138" s="113" t="s">
        <v>484</v>
      </c>
      <c r="AF138" s="68" t="s">
        <v>516</v>
      </c>
      <c r="AG138" s="318" t="s">
        <v>732</v>
      </c>
      <c r="AH138" s="210" t="s">
        <v>514</v>
      </c>
      <c r="AI138" s="65" t="s">
        <v>514</v>
      </c>
    </row>
    <row r="139" spans="1:35" ht="30" x14ac:dyDescent="0.25">
      <c r="A139" s="993" t="s">
        <v>911</v>
      </c>
      <c r="B139" s="945" t="s">
        <v>494</v>
      </c>
      <c r="C139" s="653">
        <v>2020</v>
      </c>
      <c r="D139" s="454" t="s">
        <v>990</v>
      </c>
      <c r="E139" s="576" t="s">
        <v>62</v>
      </c>
      <c r="F139" s="576" t="s">
        <v>62</v>
      </c>
      <c r="G139" s="915" t="s">
        <v>1009</v>
      </c>
      <c r="H139" s="551">
        <v>63000</v>
      </c>
      <c r="I139" s="551">
        <v>0</v>
      </c>
      <c r="J139" s="551">
        <v>0</v>
      </c>
      <c r="K139" s="1901">
        <v>0</v>
      </c>
      <c r="L139" s="1553">
        <v>0</v>
      </c>
      <c r="M139" s="1552">
        <v>0</v>
      </c>
      <c r="N139" s="919">
        <v>0</v>
      </c>
      <c r="O139" s="1096">
        <v>0</v>
      </c>
      <c r="P139" s="920">
        <v>0</v>
      </c>
      <c r="Q139" s="547">
        <v>0</v>
      </c>
      <c r="R139" s="1449">
        <v>6000</v>
      </c>
      <c r="S139" s="1450">
        <v>-6000</v>
      </c>
      <c r="T139" s="1449">
        <f t="shared" si="11"/>
        <v>0</v>
      </c>
      <c r="U139" s="919">
        <v>0</v>
      </c>
      <c r="V139" s="920">
        <v>0</v>
      </c>
      <c r="W139" s="920">
        <v>11700</v>
      </c>
      <c r="X139" s="547">
        <v>10000</v>
      </c>
      <c r="Y139" s="1129">
        <v>21700</v>
      </c>
      <c r="Z139" s="578">
        <v>41300</v>
      </c>
      <c r="AA139" s="547">
        <v>0</v>
      </c>
      <c r="AB139" s="920">
        <v>0</v>
      </c>
      <c r="AC139" s="547">
        <v>0</v>
      </c>
      <c r="AD139" s="1468">
        <v>0</v>
      </c>
      <c r="AE139" s="574" t="s">
        <v>1351</v>
      </c>
      <c r="AF139" s="454" t="s">
        <v>13</v>
      </c>
      <c r="AG139" s="1131" t="s">
        <v>1010</v>
      </c>
      <c r="AH139" s="996" t="s">
        <v>514</v>
      </c>
      <c r="AI139" s="555" t="s">
        <v>513</v>
      </c>
    </row>
    <row r="140" spans="1:35" ht="25.5" x14ac:dyDescent="0.25">
      <c r="A140" s="993" t="s">
        <v>912</v>
      </c>
      <c r="B140" s="945" t="s">
        <v>494</v>
      </c>
      <c r="C140" s="653">
        <v>2020</v>
      </c>
      <c r="D140" s="454" t="s">
        <v>990</v>
      </c>
      <c r="E140" s="576" t="s">
        <v>62</v>
      </c>
      <c r="F140" s="576" t="s">
        <v>62</v>
      </c>
      <c r="G140" s="1127" t="s">
        <v>1011</v>
      </c>
      <c r="H140" s="551">
        <v>110000</v>
      </c>
      <c r="I140" s="551">
        <v>0</v>
      </c>
      <c r="J140" s="552">
        <v>0</v>
      </c>
      <c r="K140" s="1901">
        <v>0</v>
      </c>
      <c r="L140" s="1539">
        <v>0</v>
      </c>
      <c r="M140" s="1538">
        <v>0</v>
      </c>
      <c r="N140" s="919">
        <v>0</v>
      </c>
      <c r="O140" s="1096">
        <v>0</v>
      </c>
      <c r="P140" s="920">
        <v>0</v>
      </c>
      <c r="Q140" s="547">
        <v>6000</v>
      </c>
      <c r="R140" s="1449">
        <v>10000</v>
      </c>
      <c r="S140" s="1450">
        <v>-4000</v>
      </c>
      <c r="T140" s="1449">
        <f t="shared" si="11"/>
        <v>6000</v>
      </c>
      <c r="U140" s="919">
        <v>0</v>
      </c>
      <c r="V140" s="920">
        <v>0</v>
      </c>
      <c r="W140" s="920">
        <v>10000</v>
      </c>
      <c r="X140" s="547">
        <v>4000</v>
      </c>
      <c r="Y140" s="1129">
        <v>14000</v>
      </c>
      <c r="Z140" s="1129">
        <v>90000</v>
      </c>
      <c r="AA140" s="547">
        <v>0</v>
      </c>
      <c r="AB140" s="920">
        <v>0</v>
      </c>
      <c r="AC140" s="547">
        <v>0</v>
      </c>
      <c r="AD140" s="1468">
        <v>0</v>
      </c>
      <c r="AE140" s="574" t="s">
        <v>1352</v>
      </c>
      <c r="AF140" s="454" t="s">
        <v>13</v>
      </c>
      <c r="AG140" s="1131" t="s">
        <v>1010</v>
      </c>
      <c r="AH140" s="996" t="s">
        <v>514</v>
      </c>
      <c r="AI140" s="555" t="s">
        <v>513</v>
      </c>
    </row>
    <row r="141" spans="1:35" ht="25.5" x14ac:dyDescent="0.25">
      <c r="A141" s="993" t="s">
        <v>913</v>
      </c>
      <c r="B141" s="945" t="s">
        <v>1218</v>
      </c>
      <c r="C141" s="653">
        <v>2020</v>
      </c>
      <c r="D141" s="454" t="s">
        <v>990</v>
      </c>
      <c r="E141" s="576" t="s">
        <v>62</v>
      </c>
      <c r="F141" s="576" t="s">
        <v>62</v>
      </c>
      <c r="G141" s="1127" t="s">
        <v>914</v>
      </c>
      <c r="H141" s="551">
        <v>54000</v>
      </c>
      <c r="I141" s="551">
        <v>0</v>
      </c>
      <c r="J141" s="552">
        <v>2662.2298999999998</v>
      </c>
      <c r="K141" s="1901">
        <v>2279.4463999999998</v>
      </c>
      <c r="L141" s="1539">
        <v>2250.8056999999999</v>
      </c>
      <c r="M141" s="1538">
        <v>0</v>
      </c>
      <c r="N141" s="919">
        <v>0</v>
      </c>
      <c r="O141" s="1096">
        <f>3425-762.7701</f>
        <v>2662.2299000000003</v>
      </c>
      <c r="P141" s="920">
        <f>3425+762.7701-1908.3237</f>
        <v>2279.4463999999998</v>
      </c>
      <c r="Q141" s="547">
        <f>443+1908.3237</f>
        <v>2351.3236999999999</v>
      </c>
      <c r="R141" s="1449">
        <v>13700</v>
      </c>
      <c r="S141" s="1450">
        <v>-6407</v>
      </c>
      <c r="T141" s="1449">
        <f t="shared" si="11"/>
        <v>7293</v>
      </c>
      <c r="U141" s="919">
        <v>0</v>
      </c>
      <c r="V141" s="920">
        <v>0</v>
      </c>
      <c r="W141" s="920">
        <v>13750</v>
      </c>
      <c r="X141" s="547">
        <v>0</v>
      </c>
      <c r="Y141" s="1129">
        <v>13750</v>
      </c>
      <c r="Z141" s="1129">
        <v>32957</v>
      </c>
      <c r="AA141" s="547">
        <v>0</v>
      </c>
      <c r="AB141" s="920">
        <v>0</v>
      </c>
      <c r="AC141" s="547">
        <v>0</v>
      </c>
      <c r="AD141" s="1468">
        <v>0</v>
      </c>
      <c r="AE141" s="574" t="s">
        <v>1353</v>
      </c>
      <c r="AF141" s="1130" t="s">
        <v>43</v>
      </c>
      <c r="AG141" s="1131" t="s">
        <v>962</v>
      </c>
      <c r="AH141" s="996" t="s">
        <v>514</v>
      </c>
      <c r="AI141" s="555" t="s">
        <v>514</v>
      </c>
    </row>
    <row r="142" spans="1:35" s="1912" customFormat="1" ht="25.5" x14ac:dyDescent="0.25">
      <c r="A142" s="1579" t="s">
        <v>915</v>
      </c>
      <c r="B142" s="1580" t="s">
        <v>494</v>
      </c>
      <c r="C142" s="1995">
        <v>2020</v>
      </c>
      <c r="D142" s="1086" t="s">
        <v>990</v>
      </c>
      <c r="E142" s="1581" t="s">
        <v>62</v>
      </c>
      <c r="F142" s="1581" t="s">
        <v>62</v>
      </c>
      <c r="G142" s="2019" t="s">
        <v>916</v>
      </c>
      <c r="H142" s="621">
        <v>0</v>
      </c>
      <c r="I142" s="621">
        <v>0</v>
      </c>
      <c r="J142" s="1208">
        <v>0</v>
      </c>
      <c r="K142" s="1996">
        <v>0</v>
      </c>
      <c r="L142" s="1583">
        <v>0</v>
      </c>
      <c r="M142" s="1582">
        <v>0</v>
      </c>
      <c r="N142" s="1196">
        <v>0</v>
      </c>
      <c r="O142" s="1619">
        <v>0</v>
      </c>
      <c r="P142" s="1195">
        <v>0</v>
      </c>
      <c r="Q142" s="1084">
        <v>0</v>
      </c>
      <c r="R142" s="1584">
        <v>0</v>
      </c>
      <c r="S142" s="1585">
        <v>0</v>
      </c>
      <c r="T142" s="1584">
        <f t="shared" si="11"/>
        <v>0</v>
      </c>
      <c r="U142" s="1196">
        <v>0</v>
      </c>
      <c r="V142" s="1195">
        <v>0</v>
      </c>
      <c r="W142" s="1195">
        <v>0</v>
      </c>
      <c r="X142" s="1084"/>
      <c r="Y142" s="1600">
        <v>0</v>
      </c>
      <c r="Z142" s="1600">
        <v>0</v>
      </c>
      <c r="AA142" s="1084">
        <v>0</v>
      </c>
      <c r="AB142" s="1195">
        <v>0</v>
      </c>
      <c r="AC142" s="1084">
        <v>0</v>
      </c>
      <c r="AD142" s="1584">
        <v>0</v>
      </c>
      <c r="AE142" s="680" t="s">
        <v>1460</v>
      </c>
      <c r="AF142" s="2005" t="s">
        <v>516</v>
      </c>
      <c r="AG142" s="1603" t="s">
        <v>1005</v>
      </c>
      <c r="AH142" s="1587" t="s">
        <v>514</v>
      </c>
      <c r="AI142" s="1588" t="s">
        <v>513</v>
      </c>
    </row>
    <row r="143" spans="1:35" ht="25.5" x14ac:dyDescent="0.25">
      <c r="A143" s="993" t="s">
        <v>917</v>
      </c>
      <c r="B143" s="945" t="s">
        <v>494</v>
      </c>
      <c r="C143" s="653">
        <v>2020</v>
      </c>
      <c r="D143" s="454" t="s">
        <v>990</v>
      </c>
      <c r="E143" s="576" t="s">
        <v>62</v>
      </c>
      <c r="F143" s="576" t="s">
        <v>62</v>
      </c>
      <c r="G143" s="1127" t="s">
        <v>918</v>
      </c>
      <c r="H143" s="551">
        <v>1819</v>
      </c>
      <c r="I143" s="551">
        <v>0</v>
      </c>
      <c r="J143" s="552">
        <v>0</v>
      </c>
      <c r="K143" s="1901">
        <v>0</v>
      </c>
      <c r="L143" s="1539">
        <v>0</v>
      </c>
      <c r="M143" s="1538">
        <v>0</v>
      </c>
      <c r="N143" s="919">
        <v>0</v>
      </c>
      <c r="O143" s="1096">
        <v>0</v>
      </c>
      <c r="P143" s="920">
        <v>0</v>
      </c>
      <c r="Q143" s="547">
        <v>1819</v>
      </c>
      <c r="R143" s="1449">
        <v>0</v>
      </c>
      <c r="S143" s="1450">
        <v>1819</v>
      </c>
      <c r="T143" s="1449">
        <f t="shared" si="11"/>
        <v>1819</v>
      </c>
      <c r="U143" s="919">
        <v>0</v>
      </c>
      <c r="V143" s="920">
        <v>0</v>
      </c>
      <c r="W143" s="920">
        <v>0</v>
      </c>
      <c r="X143" s="547">
        <v>0</v>
      </c>
      <c r="Y143" s="1129">
        <v>0</v>
      </c>
      <c r="Z143" s="1129">
        <v>0</v>
      </c>
      <c r="AA143" s="547">
        <v>0</v>
      </c>
      <c r="AB143" s="920">
        <v>0</v>
      </c>
      <c r="AC143" s="547">
        <v>0</v>
      </c>
      <c r="AD143" s="1449">
        <v>0</v>
      </c>
      <c r="AE143" s="359" t="s">
        <v>1354</v>
      </c>
      <c r="AF143" s="454" t="s">
        <v>13</v>
      </c>
      <c r="AG143" s="1131" t="s">
        <v>208</v>
      </c>
      <c r="AH143" s="996" t="s">
        <v>514</v>
      </c>
      <c r="AI143" s="555" t="s">
        <v>514</v>
      </c>
    </row>
    <row r="144" spans="1:35" ht="25.5" x14ac:dyDescent="0.25">
      <c r="A144" s="1165" t="s">
        <v>919</v>
      </c>
      <c r="B144" s="1161" t="s">
        <v>1232</v>
      </c>
      <c r="C144" s="1486">
        <v>2020</v>
      </c>
      <c r="D144" s="470" t="s">
        <v>990</v>
      </c>
      <c r="E144" s="986" t="s">
        <v>62</v>
      </c>
      <c r="F144" s="986" t="s">
        <v>62</v>
      </c>
      <c r="G144" s="1573" t="s">
        <v>920</v>
      </c>
      <c r="H144" s="558">
        <v>52278</v>
      </c>
      <c r="I144" s="558">
        <v>0</v>
      </c>
      <c r="J144" s="985">
        <v>0</v>
      </c>
      <c r="K144" s="1914">
        <v>1718.73622</v>
      </c>
      <c r="L144" s="1575">
        <v>0</v>
      </c>
      <c r="M144" s="1574">
        <v>0</v>
      </c>
      <c r="N144" s="940">
        <v>0</v>
      </c>
      <c r="O144" s="1162">
        <v>0</v>
      </c>
      <c r="P144" s="941">
        <f>1719-0.26378</f>
        <v>1718.73622</v>
      </c>
      <c r="Q144" s="560">
        <f>0+0.26378</f>
        <v>0.26378000000000001</v>
      </c>
      <c r="R144" s="1481">
        <v>24045</v>
      </c>
      <c r="S144" s="1482">
        <v>-22326</v>
      </c>
      <c r="T144" s="1481">
        <f t="shared" si="11"/>
        <v>1719</v>
      </c>
      <c r="U144" s="940">
        <f>22326+8626</f>
        <v>30952</v>
      </c>
      <c r="V144" s="941">
        <v>12329</v>
      </c>
      <c r="W144" s="941">
        <v>0</v>
      </c>
      <c r="X144" s="560">
        <v>0</v>
      </c>
      <c r="Y144" s="1606">
        <f>34655+8626</f>
        <v>43281</v>
      </c>
      <c r="Z144" s="1606">
        <v>0</v>
      </c>
      <c r="AA144" s="560">
        <v>0</v>
      </c>
      <c r="AB144" s="941">
        <v>7278</v>
      </c>
      <c r="AC144" s="560">
        <v>0</v>
      </c>
      <c r="AD144" s="1481"/>
      <c r="AE144" s="573" t="s">
        <v>1484</v>
      </c>
      <c r="AF144" s="470" t="s">
        <v>43</v>
      </c>
      <c r="AG144" s="1598" t="s">
        <v>1005</v>
      </c>
      <c r="AH144" s="1164" t="s">
        <v>514</v>
      </c>
      <c r="AI144" s="1167" t="s">
        <v>514</v>
      </c>
    </row>
    <row r="145" spans="1:35" ht="30.75" x14ac:dyDescent="0.25">
      <c r="A145" s="993" t="s">
        <v>921</v>
      </c>
      <c r="B145" s="945" t="s">
        <v>494</v>
      </c>
      <c r="C145" s="653">
        <v>2020</v>
      </c>
      <c r="D145" s="454" t="s">
        <v>990</v>
      </c>
      <c r="E145" s="576" t="s">
        <v>62</v>
      </c>
      <c r="F145" s="576" t="s">
        <v>62</v>
      </c>
      <c r="G145" s="1127" t="s">
        <v>922</v>
      </c>
      <c r="H145" s="551">
        <v>40985</v>
      </c>
      <c r="I145" s="551">
        <v>0</v>
      </c>
      <c r="J145" s="552">
        <v>0</v>
      </c>
      <c r="K145" s="1901">
        <v>0</v>
      </c>
      <c r="L145" s="1539">
        <v>0</v>
      </c>
      <c r="M145" s="1538">
        <v>0</v>
      </c>
      <c r="N145" s="919">
        <v>0</v>
      </c>
      <c r="O145" s="1096">
        <v>0</v>
      </c>
      <c r="P145" s="920">
        <v>0</v>
      </c>
      <c r="Q145" s="547">
        <v>0</v>
      </c>
      <c r="R145" s="1449">
        <v>1</v>
      </c>
      <c r="S145" s="1450">
        <v>-1</v>
      </c>
      <c r="T145" s="1449">
        <f t="shared" si="11"/>
        <v>0</v>
      </c>
      <c r="U145" s="919">
        <v>0</v>
      </c>
      <c r="V145" s="920">
        <v>10000</v>
      </c>
      <c r="W145" s="920">
        <v>24220</v>
      </c>
      <c r="X145" s="547">
        <v>0</v>
      </c>
      <c r="Y145" s="1129">
        <v>34220</v>
      </c>
      <c r="Z145" s="1129">
        <v>0</v>
      </c>
      <c r="AA145" s="547">
        <v>6765</v>
      </c>
      <c r="AB145" s="920">
        <v>0</v>
      </c>
      <c r="AC145" s="547">
        <v>0</v>
      </c>
      <c r="AD145" s="1826">
        <v>6765</v>
      </c>
      <c r="AE145" s="359" t="s">
        <v>1447</v>
      </c>
      <c r="AF145" s="454" t="s">
        <v>19</v>
      </c>
      <c r="AG145" s="1131" t="s">
        <v>1005</v>
      </c>
      <c r="AH145" s="996" t="s">
        <v>513</v>
      </c>
      <c r="AI145" s="555" t="s">
        <v>513</v>
      </c>
    </row>
    <row r="146" spans="1:35" s="1912" customFormat="1" ht="25.5" x14ac:dyDescent="0.25">
      <c r="A146" s="1579" t="s">
        <v>923</v>
      </c>
      <c r="B146" s="1580" t="s">
        <v>494</v>
      </c>
      <c r="C146" s="1995">
        <v>2020</v>
      </c>
      <c r="D146" s="1086" t="s">
        <v>990</v>
      </c>
      <c r="E146" s="1581" t="s">
        <v>62</v>
      </c>
      <c r="F146" s="1581" t="s">
        <v>62</v>
      </c>
      <c r="G146" s="2019" t="s">
        <v>924</v>
      </c>
      <c r="H146" s="621">
        <v>0</v>
      </c>
      <c r="I146" s="621">
        <v>0</v>
      </c>
      <c r="J146" s="1208">
        <v>0</v>
      </c>
      <c r="K146" s="1996">
        <v>0</v>
      </c>
      <c r="L146" s="1583">
        <v>0</v>
      </c>
      <c r="M146" s="1582">
        <v>0</v>
      </c>
      <c r="N146" s="1196">
        <v>0</v>
      </c>
      <c r="O146" s="1619">
        <v>0</v>
      </c>
      <c r="P146" s="1195">
        <v>0</v>
      </c>
      <c r="Q146" s="1084">
        <v>0</v>
      </c>
      <c r="R146" s="1584">
        <v>8330</v>
      </c>
      <c r="S146" s="1585">
        <v>-8330</v>
      </c>
      <c r="T146" s="1584">
        <f t="shared" si="11"/>
        <v>0</v>
      </c>
      <c r="U146" s="1196">
        <v>0</v>
      </c>
      <c r="V146" s="1195">
        <v>0</v>
      </c>
      <c r="W146" s="1195">
        <v>0</v>
      </c>
      <c r="X146" s="1084">
        <v>0</v>
      </c>
      <c r="Y146" s="1600">
        <v>0</v>
      </c>
      <c r="Z146" s="1600">
        <v>0</v>
      </c>
      <c r="AA146" s="1084">
        <v>0</v>
      </c>
      <c r="AB146" s="1195">
        <v>0</v>
      </c>
      <c r="AC146" s="1084">
        <v>0</v>
      </c>
      <c r="AD146" s="2039">
        <v>0</v>
      </c>
      <c r="AE146" s="691" t="s">
        <v>1460</v>
      </c>
      <c r="AF146" s="1086" t="s">
        <v>516</v>
      </c>
      <c r="AG146" s="1603" t="s">
        <v>1005</v>
      </c>
      <c r="AH146" s="1587" t="s">
        <v>514</v>
      </c>
      <c r="AI146" s="1588" t="s">
        <v>514</v>
      </c>
    </row>
    <row r="147" spans="1:35" ht="30.75" x14ac:dyDescent="0.25">
      <c r="A147" s="993" t="s">
        <v>925</v>
      </c>
      <c r="B147" s="945" t="s">
        <v>494</v>
      </c>
      <c r="C147" s="653">
        <v>2020</v>
      </c>
      <c r="D147" s="454" t="s">
        <v>990</v>
      </c>
      <c r="E147" s="576" t="s">
        <v>62</v>
      </c>
      <c r="F147" s="576" t="s">
        <v>62</v>
      </c>
      <c r="G147" s="1127" t="s">
        <v>926</v>
      </c>
      <c r="H147" s="551">
        <v>36300</v>
      </c>
      <c r="I147" s="551">
        <v>0</v>
      </c>
      <c r="J147" s="552">
        <v>0</v>
      </c>
      <c r="K147" s="1901">
        <v>0</v>
      </c>
      <c r="L147" s="1539">
        <v>0</v>
      </c>
      <c r="M147" s="1538">
        <v>0</v>
      </c>
      <c r="N147" s="919">
        <v>0</v>
      </c>
      <c r="O147" s="1096">
        <v>0</v>
      </c>
      <c r="P147" s="920">
        <v>0</v>
      </c>
      <c r="Q147" s="547">
        <v>0</v>
      </c>
      <c r="R147" s="1449">
        <v>1</v>
      </c>
      <c r="S147" s="1450">
        <v>-1</v>
      </c>
      <c r="T147" s="1449">
        <f t="shared" si="11"/>
        <v>0</v>
      </c>
      <c r="U147" s="919">
        <v>0</v>
      </c>
      <c r="V147" s="920">
        <v>10000</v>
      </c>
      <c r="W147" s="920">
        <v>20310</v>
      </c>
      <c r="X147" s="547">
        <v>0</v>
      </c>
      <c r="Y147" s="1129">
        <v>30310</v>
      </c>
      <c r="Z147" s="1129">
        <v>0</v>
      </c>
      <c r="AA147" s="547">
        <v>5990</v>
      </c>
      <c r="AB147" s="920">
        <v>0</v>
      </c>
      <c r="AC147" s="547">
        <v>0</v>
      </c>
      <c r="AD147" s="1826">
        <v>5990</v>
      </c>
      <c r="AE147" s="359" t="s">
        <v>1447</v>
      </c>
      <c r="AF147" s="454" t="s">
        <v>19</v>
      </c>
      <c r="AG147" s="1131" t="s">
        <v>1005</v>
      </c>
      <c r="AH147" s="996" t="s">
        <v>513</v>
      </c>
      <c r="AI147" s="555" t="s">
        <v>513</v>
      </c>
    </row>
    <row r="148" spans="1:35" ht="30.75" x14ac:dyDescent="0.25">
      <c r="A148" s="993" t="s">
        <v>927</v>
      </c>
      <c r="B148" s="945" t="s">
        <v>494</v>
      </c>
      <c r="C148" s="653">
        <v>2020</v>
      </c>
      <c r="D148" s="454" t="s">
        <v>990</v>
      </c>
      <c r="E148" s="576" t="s">
        <v>62</v>
      </c>
      <c r="F148" s="576" t="s">
        <v>62</v>
      </c>
      <c r="G148" s="1127" t="s">
        <v>928</v>
      </c>
      <c r="H148" s="551">
        <v>36300</v>
      </c>
      <c r="I148" s="551">
        <v>0</v>
      </c>
      <c r="J148" s="552">
        <v>0</v>
      </c>
      <c r="K148" s="1901">
        <v>0</v>
      </c>
      <c r="L148" s="1539">
        <v>0</v>
      </c>
      <c r="M148" s="1538">
        <v>0</v>
      </c>
      <c r="N148" s="919">
        <v>0</v>
      </c>
      <c r="O148" s="1096">
        <v>0</v>
      </c>
      <c r="P148" s="920">
        <v>0</v>
      </c>
      <c r="Q148" s="547">
        <v>0</v>
      </c>
      <c r="R148" s="1449">
        <v>1</v>
      </c>
      <c r="S148" s="1450">
        <v>-1</v>
      </c>
      <c r="T148" s="1449">
        <f t="shared" si="11"/>
        <v>0</v>
      </c>
      <c r="U148" s="919">
        <v>0</v>
      </c>
      <c r="V148" s="920">
        <v>10000</v>
      </c>
      <c r="W148" s="920">
        <v>20310</v>
      </c>
      <c r="X148" s="547">
        <v>0</v>
      </c>
      <c r="Y148" s="1129">
        <v>30310</v>
      </c>
      <c r="Z148" s="1129">
        <v>0</v>
      </c>
      <c r="AA148" s="547">
        <v>5990</v>
      </c>
      <c r="AB148" s="920">
        <v>0</v>
      </c>
      <c r="AC148" s="547">
        <v>0</v>
      </c>
      <c r="AD148" s="1826">
        <v>5990</v>
      </c>
      <c r="AE148" s="359" t="s">
        <v>1447</v>
      </c>
      <c r="AF148" s="454" t="s">
        <v>19</v>
      </c>
      <c r="AG148" s="1131" t="s">
        <v>1005</v>
      </c>
      <c r="AH148" s="996" t="s">
        <v>513</v>
      </c>
      <c r="AI148" s="555" t="s">
        <v>513</v>
      </c>
    </row>
    <row r="149" spans="1:35" ht="30.75" x14ac:dyDescent="0.25">
      <c r="A149" s="993" t="s">
        <v>929</v>
      </c>
      <c r="B149" s="945" t="s">
        <v>494</v>
      </c>
      <c r="C149" s="653">
        <v>2020</v>
      </c>
      <c r="D149" s="454" t="s">
        <v>990</v>
      </c>
      <c r="E149" s="576" t="s">
        <v>62</v>
      </c>
      <c r="F149" s="576" t="s">
        <v>62</v>
      </c>
      <c r="G149" s="1127" t="s">
        <v>930</v>
      </c>
      <c r="H149" s="551">
        <v>30250</v>
      </c>
      <c r="I149" s="551">
        <v>0</v>
      </c>
      <c r="J149" s="552">
        <v>0</v>
      </c>
      <c r="K149" s="1901">
        <v>0</v>
      </c>
      <c r="L149" s="1539">
        <v>0</v>
      </c>
      <c r="M149" s="1538">
        <v>0</v>
      </c>
      <c r="N149" s="919">
        <v>0</v>
      </c>
      <c r="O149" s="1096">
        <v>0</v>
      </c>
      <c r="P149" s="920">
        <v>0</v>
      </c>
      <c r="Q149" s="547">
        <v>0</v>
      </c>
      <c r="R149" s="1449">
        <v>1</v>
      </c>
      <c r="S149" s="1450">
        <v>-1</v>
      </c>
      <c r="T149" s="1449">
        <f t="shared" si="11"/>
        <v>0</v>
      </c>
      <c r="U149" s="919">
        <v>0</v>
      </c>
      <c r="V149" s="920">
        <v>10000</v>
      </c>
      <c r="W149" s="920">
        <v>15250</v>
      </c>
      <c r="X149" s="547">
        <v>0</v>
      </c>
      <c r="Y149" s="1129">
        <v>25250</v>
      </c>
      <c r="Z149" s="1129">
        <v>0</v>
      </c>
      <c r="AA149" s="547">
        <v>5000</v>
      </c>
      <c r="AB149" s="920">
        <v>0</v>
      </c>
      <c r="AC149" s="547">
        <v>0</v>
      </c>
      <c r="AD149" s="1826">
        <v>5000</v>
      </c>
      <c r="AE149" s="359" t="s">
        <v>1446</v>
      </c>
      <c r="AF149" s="454" t="s">
        <v>19</v>
      </c>
      <c r="AG149" s="1131" t="s">
        <v>1005</v>
      </c>
      <c r="AH149" s="996" t="s">
        <v>513</v>
      </c>
      <c r="AI149" s="555" t="s">
        <v>513</v>
      </c>
    </row>
    <row r="150" spans="1:35" ht="25.5" x14ac:dyDescent="0.25">
      <c r="A150" s="62" t="s">
        <v>931</v>
      </c>
      <c r="B150" s="85" t="s">
        <v>494</v>
      </c>
      <c r="C150" s="346">
        <v>2020</v>
      </c>
      <c r="D150" s="5" t="s">
        <v>990</v>
      </c>
      <c r="E150" s="63" t="s">
        <v>62</v>
      </c>
      <c r="F150" s="63" t="s">
        <v>62</v>
      </c>
      <c r="G150" s="428" t="s">
        <v>1012</v>
      </c>
      <c r="H150" s="16">
        <v>5000</v>
      </c>
      <c r="I150" s="16">
        <v>0</v>
      </c>
      <c r="J150" s="24">
        <v>0</v>
      </c>
      <c r="K150" s="412">
        <v>0</v>
      </c>
      <c r="L150" s="1252">
        <v>0</v>
      </c>
      <c r="M150" s="1251">
        <v>0</v>
      </c>
      <c r="N150" s="850">
        <v>0</v>
      </c>
      <c r="O150" s="155">
        <v>0</v>
      </c>
      <c r="P150" s="201">
        <v>0</v>
      </c>
      <c r="Q150" s="29">
        <v>0</v>
      </c>
      <c r="R150" s="1268">
        <v>0</v>
      </c>
      <c r="S150" s="1269">
        <v>0</v>
      </c>
      <c r="T150" s="1268">
        <f t="shared" si="11"/>
        <v>0</v>
      </c>
      <c r="U150" s="850">
        <v>0</v>
      </c>
      <c r="V150" s="201">
        <v>0</v>
      </c>
      <c r="W150" s="201">
        <v>0</v>
      </c>
      <c r="X150" s="29">
        <v>0</v>
      </c>
      <c r="Y150" s="395">
        <v>0</v>
      </c>
      <c r="Z150" s="395">
        <v>5000</v>
      </c>
      <c r="AA150" s="29">
        <v>0</v>
      </c>
      <c r="AB150" s="201">
        <v>0</v>
      </c>
      <c r="AC150" s="29">
        <v>0</v>
      </c>
      <c r="AD150" s="1231">
        <v>0</v>
      </c>
      <c r="AE150" s="119" t="s">
        <v>484</v>
      </c>
      <c r="AF150" s="5" t="s">
        <v>19</v>
      </c>
      <c r="AG150" s="246" t="s">
        <v>1010</v>
      </c>
      <c r="AH150" s="193" t="s">
        <v>513</v>
      </c>
      <c r="AI150" s="104" t="s">
        <v>513</v>
      </c>
    </row>
    <row r="151" spans="1:35" ht="25.5" x14ac:dyDescent="0.25">
      <c r="A151" s="62" t="s">
        <v>932</v>
      </c>
      <c r="B151" s="85" t="s">
        <v>494</v>
      </c>
      <c r="C151" s="346">
        <v>2020</v>
      </c>
      <c r="D151" s="5" t="s">
        <v>990</v>
      </c>
      <c r="E151" s="63" t="s">
        <v>62</v>
      </c>
      <c r="F151" s="63" t="s">
        <v>62</v>
      </c>
      <c r="G151" s="428" t="s">
        <v>933</v>
      </c>
      <c r="H151" s="16">
        <v>25913</v>
      </c>
      <c r="I151" s="16">
        <v>0</v>
      </c>
      <c r="J151" s="24">
        <v>0</v>
      </c>
      <c r="K151" s="412">
        <v>0</v>
      </c>
      <c r="L151" s="1252">
        <v>0</v>
      </c>
      <c r="M151" s="1251">
        <v>0</v>
      </c>
      <c r="N151" s="850">
        <v>0</v>
      </c>
      <c r="O151" s="155">
        <v>0</v>
      </c>
      <c r="P151" s="201">
        <v>0</v>
      </c>
      <c r="Q151" s="29">
        <v>0</v>
      </c>
      <c r="R151" s="1268">
        <v>0</v>
      </c>
      <c r="S151" s="1269">
        <v>0</v>
      </c>
      <c r="T151" s="1268">
        <f t="shared" si="11"/>
        <v>0</v>
      </c>
      <c r="U151" s="850">
        <v>0</v>
      </c>
      <c r="V151" s="201">
        <v>0</v>
      </c>
      <c r="W151" s="201">
        <v>0</v>
      </c>
      <c r="X151" s="29">
        <v>0</v>
      </c>
      <c r="Y151" s="395">
        <v>0</v>
      </c>
      <c r="Z151" s="18">
        <v>25913</v>
      </c>
      <c r="AA151" s="29">
        <v>0</v>
      </c>
      <c r="AB151" s="201">
        <v>0</v>
      </c>
      <c r="AC151" s="29">
        <v>0</v>
      </c>
      <c r="AD151" s="1231">
        <v>0</v>
      </c>
      <c r="AE151" s="119" t="s">
        <v>484</v>
      </c>
      <c r="AF151" s="5" t="s">
        <v>19</v>
      </c>
      <c r="AG151" s="246" t="s">
        <v>1010</v>
      </c>
      <c r="AH151" s="193" t="s">
        <v>513</v>
      </c>
      <c r="AI151" s="104" t="s">
        <v>513</v>
      </c>
    </row>
    <row r="152" spans="1:35" s="354" customFormat="1" ht="30.75" x14ac:dyDescent="0.25">
      <c r="A152" s="987" t="s">
        <v>934</v>
      </c>
      <c r="B152" s="988" t="s">
        <v>494</v>
      </c>
      <c r="C152" s="1613">
        <v>2020</v>
      </c>
      <c r="D152" s="298" t="s">
        <v>990</v>
      </c>
      <c r="E152" s="407" t="s">
        <v>62</v>
      </c>
      <c r="F152" s="407" t="s">
        <v>62</v>
      </c>
      <c r="G152" s="1080" t="s">
        <v>1459</v>
      </c>
      <c r="H152" s="300">
        <v>38301</v>
      </c>
      <c r="I152" s="300">
        <v>0</v>
      </c>
      <c r="J152" s="299">
        <v>0</v>
      </c>
      <c r="K152" s="1916">
        <v>0</v>
      </c>
      <c r="L152" s="1545">
        <v>0</v>
      </c>
      <c r="M152" s="1544">
        <v>0</v>
      </c>
      <c r="N152" s="927">
        <v>0</v>
      </c>
      <c r="O152" s="526">
        <v>0</v>
      </c>
      <c r="P152" s="527">
        <v>0</v>
      </c>
      <c r="Q152" s="528">
        <v>0</v>
      </c>
      <c r="R152" s="1546">
        <v>0</v>
      </c>
      <c r="S152" s="1547">
        <v>0</v>
      </c>
      <c r="T152" s="1546">
        <f t="shared" si="11"/>
        <v>0</v>
      </c>
      <c r="U152" s="927">
        <v>0</v>
      </c>
      <c r="V152" s="527">
        <v>10000</v>
      </c>
      <c r="W152" s="527">
        <v>21981</v>
      </c>
      <c r="X152" s="528">
        <v>0</v>
      </c>
      <c r="Y152" s="1187">
        <v>31981</v>
      </c>
      <c r="Z152" s="990">
        <v>0</v>
      </c>
      <c r="AA152" s="528">
        <v>6320</v>
      </c>
      <c r="AB152" s="527">
        <v>0</v>
      </c>
      <c r="AC152" s="528">
        <v>0</v>
      </c>
      <c r="AD152" s="1893">
        <v>6320</v>
      </c>
      <c r="AE152" s="282" t="s">
        <v>1445</v>
      </c>
      <c r="AF152" s="298" t="s">
        <v>43</v>
      </c>
      <c r="AG152" s="1121" t="s">
        <v>1005</v>
      </c>
      <c r="AH152" s="193" t="s">
        <v>514</v>
      </c>
      <c r="AI152" s="992" t="s">
        <v>513</v>
      </c>
    </row>
    <row r="153" spans="1:35" ht="25.5" x14ac:dyDescent="0.25">
      <c r="A153" s="62" t="s">
        <v>935</v>
      </c>
      <c r="B153" s="85" t="s">
        <v>494</v>
      </c>
      <c r="C153" s="346">
        <v>2020</v>
      </c>
      <c r="D153" s="5" t="s">
        <v>990</v>
      </c>
      <c r="E153" s="63" t="s">
        <v>62</v>
      </c>
      <c r="F153" s="63" t="s">
        <v>62</v>
      </c>
      <c r="G153" s="428" t="s">
        <v>936</v>
      </c>
      <c r="H153" s="16">
        <v>477</v>
      </c>
      <c r="I153" s="16">
        <v>0</v>
      </c>
      <c r="J153" s="24">
        <v>0</v>
      </c>
      <c r="K153" s="412">
        <v>0</v>
      </c>
      <c r="L153" s="1252">
        <v>0</v>
      </c>
      <c r="M153" s="1251">
        <v>0</v>
      </c>
      <c r="N153" s="850">
        <v>0</v>
      </c>
      <c r="O153" s="155">
        <v>0</v>
      </c>
      <c r="P153" s="201">
        <v>0</v>
      </c>
      <c r="Q153" s="29">
        <v>0</v>
      </c>
      <c r="R153" s="1268">
        <v>0</v>
      </c>
      <c r="S153" s="1269">
        <v>0</v>
      </c>
      <c r="T153" s="1268">
        <f t="shared" si="11"/>
        <v>0</v>
      </c>
      <c r="U153" s="850">
        <v>0</v>
      </c>
      <c r="V153" s="201">
        <v>0</v>
      </c>
      <c r="W153" s="201">
        <v>0</v>
      </c>
      <c r="X153" s="29">
        <v>0</v>
      </c>
      <c r="Y153" s="395">
        <v>0</v>
      </c>
      <c r="Z153" s="395">
        <v>477</v>
      </c>
      <c r="AA153" s="29">
        <v>0</v>
      </c>
      <c r="AB153" s="201">
        <v>0</v>
      </c>
      <c r="AC153" s="29">
        <v>0</v>
      </c>
      <c r="AD153" s="1231">
        <v>0</v>
      </c>
      <c r="AE153" s="119" t="s">
        <v>484</v>
      </c>
      <c r="AF153" s="5" t="s">
        <v>19</v>
      </c>
      <c r="AG153" s="246" t="s">
        <v>1329</v>
      </c>
      <c r="AH153" s="193" t="s">
        <v>513</v>
      </c>
      <c r="AI153" s="104" t="s">
        <v>513</v>
      </c>
    </row>
    <row r="154" spans="1:35" ht="25.5" x14ac:dyDescent="0.25">
      <c r="A154" s="62" t="s">
        <v>937</v>
      </c>
      <c r="B154" s="85" t="s">
        <v>494</v>
      </c>
      <c r="C154" s="346">
        <v>2020</v>
      </c>
      <c r="D154" s="5" t="s">
        <v>990</v>
      </c>
      <c r="E154" s="63" t="s">
        <v>62</v>
      </c>
      <c r="F154" s="63" t="s">
        <v>62</v>
      </c>
      <c r="G154" s="428" t="s">
        <v>938</v>
      </c>
      <c r="H154" s="16">
        <v>7260</v>
      </c>
      <c r="I154" s="16">
        <v>0</v>
      </c>
      <c r="J154" s="24">
        <v>0</v>
      </c>
      <c r="K154" s="412">
        <v>0</v>
      </c>
      <c r="L154" s="1252">
        <v>0</v>
      </c>
      <c r="M154" s="1251">
        <v>0</v>
      </c>
      <c r="N154" s="850">
        <v>0</v>
      </c>
      <c r="O154" s="155">
        <v>0</v>
      </c>
      <c r="P154" s="201">
        <v>0</v>
      </c>
      <c r="Q154" s="29">
        <v>0</v>
      </c>
      <c r="R154" s="1268">
        <v>0</v>
      </c>
      <c r="S154" s="1269">
        <v>0</v>
      </c>
      <c r="T154" s="1268">
        <f t="shared" si="11"/>
        <v>0</v>
      </c>
      <c r="U154" s="850">
        <v>0</v>
      </c>
      <c r="V154" s="201">
        <v>0</v>
      </c>
      <c r="W154" s="201">
        <v>0</v>
      </c>
      <c r="X154" s="422">
        <v>0</v>
      </c>
      <c r="Y154" s="395">
        <v>0</v>
      </c>
      <c r="Z154" s="395">
        <v>7260</v>
      </c>
      <c r="AA154" s="29">
        <v>0</v>
      </c>
      <c r="AB154" s="201">
        <v>0</v>
      </c>
      <c r="AC154" s="29">
        <v>0</v>
      </c>
      <c r="AD154" s="1231">
        <v>0</v>
      </c>
      <c r="AE154" s="119" t="s">
        <v>484</v>
      </c>
      <c r="AF154" s="5" t="s">
        <v>19</v>
      </c>
      <c r="AG154" s="246" t="s">
        <v>1010</v>
      </c>
      <c r="AH154" s="193" t="s">
        <v>513</v>
      </c>
      <c r="AI154" s="104" t="s">
        <v>513</v>
      </c>
    </row>
    <row r="155" spans="1:35" ht="30" x14ac:dyDescent="0.25">
      <c r="A155" s="1017" t="s">
        <v>939</v>
      </c>
      <c r="B155" s="997" t="s">
        <v>494</v>
      </c>
      <c r="C155" s="1125">
        <v>2020</v>
      </c>
      <c r="D155" s="353" t="s">
        <v>990</v>
      </c>
      <c r="E155" s="811" t="s">
        <v>62</v>
      </c>
      <c r="F155" s="811" t="s">
        <v>62</v>
      </c>
      <c r="G155" s="1018" t="s">
        <v>940</v>
      </c>
      <c r="H155" s="376">
        <v>5371</v>
      </c>
      <c r="I155" s="376">
        <v>0</v>
      </c>
      <c r="J155" s="464">
        <v>0</v>
      </c>
      <c r="K155" s="412">
        <v>0</v>
      </c>
      <c r="L155" s="1615">
        <v>0</v>
      </c>
      <c r="M155" s="1614">
        <v>0</v>
      </c>
      <c r="N155" s="929">
        <v>0</v>
      </c>
      <c r="O155" s="593">
        <v>0</v>
      </c>
      <c r="P155" s="594">
        <v>0</v>
      </c>
      <c r="Q155" s="572">
        <v>0</v>
      </c>
      <c r="R155" s="1320">
        <v>0</v>
      </c>
      <c r="S155" s="1321">
        <v>0</v>
      </c>
      <c r="T155" s="1320">
        <f t="shared" si="11"/>
        <v>0</v>
      </c>
      <c r="U155" s="929">
        <v>1154</v>
      </c>
      <c r="V155" s="594">
        <v>0</v>
      </c>
      <c r="W155" s="594">
        <v>0</v>
      </c>
      <c r="X155" s="1616">
        <v>0</v>
      </c>
      <c r="Y155" s="1126">
        <v>1154</v>
      </c>
      <c r="Z155" s="1126">
        <v>0</v>
      </c>
      <c r="AA155" s="572">
        <v>0</v>
      </c>
      <c r="AB155" s="594">
        <v>4217</v>
      </c>
      <c r="AC155" s="572">
        <v>0</v>
      </c>
      <c r="AD155" s="2081">
        <v>0</v>
      </c>
      <c r="AE155" s="416" t="s">
        <v>1355</v>
      </c>
      <c r="AF155" s="353" t="s">
        <v>43</v>
      </c>
      <c r="AG155" s="1123" t="s">
        <v>732</v>
      </c>
      <c r="AH155" s="1000" t="s">
        <v>514</v>
      </c>
      <c r="AI155" s="805" t="s">
        <v>514</v>
      </c>
    </row>
    <row r="156" spans="1:35" ht="30" x14ac:dyDescent="0.25">
      <c r="A156" s="62" t="s">
        <v>941</v>
      </c>
      <c r="B156" s="85" t="s">
        <v>494</v>
      </c>
      <c r="C156" s="346">
        <v>2020</v>
      </c>
      <c r="D156" s="5" t="s">
        <v>990</v>
      </c>
      <c r="E156" s="63" t="s">
        <v>62</v>
      </c>
      <c r="F156" s="63" t="s">
        <v>62</v>
      </c>
      <c r="G156" s="417" t="s">
        <v>1013</v>
      </c>
      <c r="H156" s="16">
        <v>13786</v>
      </c>
      <c r="I156" s="16">
        <v>0</v>
      </c>
      <c r="J156" s="24">
        <v>0</v>
      </c>
      <c r="K156" s="412">
        <v>0</v>
      </c>
      <c r="L156" s="1252">
        <v>0</v>
      </c>
      <c r="M156" s="1251">
        <v>0</v>
      </c>
      <c r="N156" s="850">
        <v>0</v>
      </c>
      <c r="O156" s="155">
        <v>0</v>
      </c>
      <c r="P156" s="201">
        <v>0</v>
      </c>
      <c r="Q156" s="29">
        <v>0</v>
      </c>
      <c r="R156" s="1268">
        <v>0</v>
      </c>
      <c r="S156" s="1269">
        <v>0</v>
      </c>
      <c r="T156" s="1268">
        <f t="shared" si="11"/>
        <v>0</v>
      </c>
      <c r="U156" s="850">
        <v>0</v>
      </c>
      <c r="V156" s="201">
        <v>7000</v>
      </c>
      <c r="W156" s="201">
        <v>4525</v>
      </c>
      <c r="X156" s="422">
        <v>0</v>
      </c>
      <c r="Y156" s="395">
        <v>11525</v>
      </c>
      <c r="Z156" s="18">
        <v>0</v>
      </c>
      <c r="AA156" s="162">
        <v>2261</v>
      </c>
      <c r="AB156" s="201">
        <v>0</v>
      </c>
      <c r="AC156" s="29">
        <v>0</v>
      </c>
      <c r="AD156" s="1242">
        <v>2261</v>
      </c>
      <c r="AE156" s="119" t="s">
        <v>1444</v>
      </c>
      <c r="AF156" s="5" t="s">
        <v>19</v>
      </c>
      <c r="AG156" s="246" t="s">
        <v>1005</v>
      </c>
      <c r="AH156" s="193" t="s">
        <v>513</v>
      </c>
      <c r="AI156" s="104" t="s">
        <v>513</v>
      </c>
    </row>
    <row r="157" spans="1:35" ht="25.5" x14ac:dyDescent="0.25">
      <c r="A157" s="62" t="s">
        <v>942</v>
      </c>
      <c r="B157" s="85" t="s">
        <v>494</v>
      </c>
      <c r="C157" s="346">
        <v>2020</v>
      </c>
      <c r="D157" s="5" t="s">
        <v>990</v>
      </c>
      <c r="E157" s="63" t="s">
        <v>62</v>
      </c>
      <c r="F157" s="63" t="s">
        <v>62</v>
      </c>
      <c r="G157" s="428" t="s">
        <v>943</v>
      </c>
      <c r="H157" s="16">
        <v>1983</v>
      </c>
      <c r="I157" s="16">
        <v>0</v>
      </c>
      <c r="J157" s="24">
        <v>0</v>
      </c>
      <c r="K157" s="412">
        <v>0</v>
      </c>
      <c r="L157" s="1252">
        <v>0</v>
      </c>
      <c r="M157" s="1251">
        <v>0</v>
      </c>
      <c r="N157" s="850">
        <v>0</v>
      </c>
      <c r="O157" s="155">
        <v>0</v>
      </c>
      <c r="P157" s="201">
        <v>0</v>
      </c>
      <c r="Q157" s="29">
        <v>0</v>
      </c>
      <c r="R157" s="1268">
        <v>0</v>
      </c>
      <c r="S157" s="1269">
        <v>0</v>
      </c>
      <c r="T157" s="1268">
        <f t="shared" si="11"/>
        <v>0</v>
      </c>
      <c r="U157" s="850">
        <v>0</v>
      </c>
      <c r="V157" s="201">
        <v>0</v>
      </c>
      <c r="W157" s="201">
        <v>0</v>
      </c>
      <c r="X157" s="422">
        <v>0</v>
      </c>
      <c r="Y157" s="395">
        <v>0</v>
      </c>
      <c r="Z157" s="18">
        <v>1983</v>
      </c>
      <c r="AA157" s="29">
        <v>0</v>
      </c>
      <c r="AB157" s="201">
        <v>0</v>
      </c>
      <c r="AC157" s="29">
        <v>0</v>
      </c>
      <c r="AD157" s="1231">
        <v>0</v>
      </c>
      <c r="AE157" s="119" t="s">
        <v>484</v>
      </c>
      <c r="AF157" s="5" t="s">
        <v>19</v>
      </c>
      <c r="AG157" s="246" t="s">
        <v>1010</v>
      </c>
      <c r="AH157" s="193" t="s">
        <v>513</v>
      </c>
      <c r="AI157" s="104" t="s">
        <v>513</v>
      </c>
    </row>
    <row r="158" spans="1:35" ht="38.25" x14ac:dyDescent="0.25">
      <c r="A158" s="1020" t="s">
        <v>944</v>
      </c>
      <c r="B158" s="1003" t="s">
        <v>494</v>
      </c>
      <c r="C158" s="1617">
        <v>2020</v>
      </c>
      <c r="D158" s="571" t="s">
        <v>990</v>
      </c>
      <c r="E158" s="1004" t="s">
        <v>62</v>
      </c>
      <c r="F158" s="1004" t="s">
        <v>62</v>
      </c>
      <c r="G158" s="1168" t="s">
        <v>945</v>
      </c>
      <c r="H158" s="596">
        <v>2000</v>
      </c>
      <c r="I158" s="596">
        <v>0</v>
      </c>
      <c r="J158" s="1021">
        <v>0</v>
      </c>
      <c r="K158" s="1901">
        <v>0</v>
      </c>
      <c r="L158" s="1561">
        <v>0</v>
      </c>
      <c r="M158" s="1560">
        <v>0</v>
      </c>
      <c r="N158" s="1006">
        <v>0</v>
      </c>
      <c r="O158" s="1169">
        <v>0</v>
      </c>
      <c r="P158" s="1007">
        <v>0</v>
      </c>
      <c r="Q158" s="570">
        <v>500</v>
      </c>
      <c r="R158" s="1562">
        <v>3000</v>
      </c>
      <c r="S158" s="1563">
        <v>-2500</v>
      </c>
      <c r="T158" s="1562">
        <f t="shared" si="11"/>
        <v>500</v>
      </c>
      <c r="U158" s="1006">
        <v>0</v>
      </c>
      <c r="V158" s="1007">
        <v>0</v>
      </c>
      <c r="W158" s="1007">
        <v>1500</v>
      </c>
      <c r="X158" s="570">
        <v>0</v>
      </c>
      <c r="Y158" s="1204">
        <v>1500</v>
      </c>
      <c r="Z158" s="597">
        <v>0</v>
      </c>
      <c r="AA158" s="570">
        <v>0</v>
      </c>
      <c r="AB158" s="1007">
        <v>0</v>
      </c>
      <c r="AC158" s="570">
        <v>0</v>
      </c>
      <c r="AD158" s="1562">
        <v>0</v>
      </c>
      <c r="AE158" s="637" t="s">
        <v>1356</v>
      </c>
      <c r="AF158" s="571" t="s">
        <v>43</v>
      </c>
      <c r="AG158" s="1170" t="s">
        <v>1052</v>
      </c>
      <c r="AH158" s="1010" t="s">
        <v>514</v>
      </c>
      <c r="AI158" s="1009" t="s">
        <v>513</v>
      </c>
    </row>
    <row r="159" spans="1:35" ht="25.5" x14ac:dyDescent="0.25">
      <c r="A159" s="62" t="s">
        <v>946</v>
      </c>
      <c r="B159" s="85" t="s">
        <v>494</v>
      </c>
      <c r="C159" s="346">
        <v>2020</v>
      </c>
      <c r="D159" s="5" t="s">
        <v>990</v>
      </c>
      <c r="E159" s="63" t="s">
        <v>62</v>
      </c>
      <c r="F159" s="63" t="s">
        <v>62</v>
      </c>
      <c r="G159" s="428" t="s">
        <v>947</v>
      </c>
      <c r="H159" s="16">
        <v>3200</v>
      </c>
      <c r="I159" s="16">
        <v>0</v>
      </c>
      <c r="J159" s="24">
        <v>0</v>
      </c>
      <c r="K159" s="412">
        <v>0</v>
      </c>
      <c r="L159" s="1252">
        <v>0</v>
      </c>
      <c r="M159" s="1251">
        <v>0</v>
      </c>
      <c r="N159" s="850">
        <v>0</v>
      </c>
      <c r="O159" s="155">
        <v>0</v>
      </c>
      <c r="P159" s="201">
        <v>0</v>
      </c>
      <c r="Q159" s="29">
        <v>0</v>
      </c>
      <c r="R159" s="1268">
        <v>0</v>
      </c>
      <c r="S159" s="1269">
        <v>0</v>
      </c>
      <c r="T159" s="1268">
        <f t="shared" si="11"/>
        <v>0</v>
      </c>
      <c r="U159" s="850">
        <v>0</v>
      </c>
      <c r="V159" s="201">
        <v>0</v>
      </c>
      <c r="W159" s="201">
        <v>0</v>
      </c>
      <c r="X159" s="29">
        <v>0</v>
      </c>
      <c r="Y159" s="395">
        <v>0</v>
      </c>
      <c r="Z159" s="18">
        <v>3200</v>
      </c>
      <c r="AA159" s="29">
        <v>0</v>
      </c>
      <c r="AB159" s="201">
        <v>0</v>
      </c>
      <c r="AC159" s="29">
        <v>0</v>
      </c>
      <c r="AD159" s="1231">
        <v>0</v>
      </c>
      <c r="AE159" s="119" t="s">
        <v>484</v>
      </c>
      <c r="AF159" s="5" t="s">
        <v>19</v>
      </c>
      <c r="AG159" s="246" t="s">
        <v>1010</v>
      </c>
      <c r="AH159" s="193" t="s">
        <v>513</v>
      </c>
      <c r="AI159" s="104" t="s">
        <v>513</v>
      </c>
    </row>
    <row r="160" spans="1:35" ht="26.25" thickBot="1" x14ac:dyDescent="0.3">
      <c r="A160" s="124" t="s">
        <v>948</v>
      </c>
      <c r="B160" s="126" t="s">
        <v>494</v>
      </c>
      <c r="C160" s="1238">
        <v>2020</v>
      </c>
      <c r="D160" s="125" t="s">
        <v>990</v>
      </c>
      <c r="E160" s="86" t="s">
        <v>62</v>
      </c>
      <c r="F160" s="86" t="s">
        <v>62</v>
      </c>
      <c r="G160" s="429" t="s">
        <v>949</v>
      </c>
      <c r="H160" s="46">
        <v>4500</v>
      </c>
      <c r="I160" s="46">
        <v>0</v>
      </c>
      <c r="J160" s="46">
        <v>0</v>
      </c>
      <c r="K160" s="1381">
        <v>0</v>
      </c>
      <c r="L160" s="835">
        <v>0</v>
      </c>
      <c r="M160" s="835">
        <v>0</v>
      </c>
      <c r="N160" s="845">
        <v>0</v>
      </c>
      <c r="O160" s="160">
        <v>0</v>
      </c>
      <c r="P160" s="203">
        <v>0</v>
      </c>
      <c r="Q160" s="98">
        <v>0</v>
      </c>
      <c r="R160" s="1270">
        <v>0</v>
      </c>
      <c r="S160" s="1271">
        <v>0</v>
      </c>
      <c r="T160" s="1270">
        <f t="shared" si="11"/>
        <v>0</v>
      </c>
      <c r="U160" s="845">
        <v>0</v>
      </c>
      <c r="V160" s="203">
        <v>0</v>
      </c>
      <c r="W160" s="203">
        <v>0</v>
      </c>
      <c r="X160" s="98">
        <v>0</v>
      </c>
      <c r="Y160" s="1111">
        <v>0</v>
      </c>
      <c r="Z160" s="49">
        <v>4500</v>
      </c>
      <c r="AA160" s="98">
        <v>0</v>
      </c>
      <c r="AB160" s="203">
        <v>0</v>
      </c>
      <c r="AC160" s="98">
        <v>0</v>
      </c>
      <c r="AD160" s="1203">
        <v>0</v>
      </c>
      <c r="AE160" s="122" t="s">
        <v>484</v>
      </c>
      <c r="AF160" s="125" t="s">
        <v>19</v>
      </c>
      <c r="AG160" s="430" t="s">
        <v>1010</v>
      </c>
      <c r="AH160" s="194" t="s">
        <v>513</v>
      </c>
      <c r="AI160" s="128" t="s">
        <v>513</v>
      </c>
    </row>
    <row r="161" spans="1:35" s="388" customFormat="1" ht="25.5" x14ac:dyDescent="0.25">
      <c r="A161" s="2020" t="s">
        <v>1014</v>
      </c>
      <c r="B161" s="2021" t="s">
        <v>494</v>
      </c>
      <c r="C161" s="2014">
        <v>2020</v>
      </c>
      <c r="D161" s="2015" t="s">
        <v>1213</v>
      </c>
      <c r="E161" s="2018" t="s">
        <v>62</v>
      </c>
      <c r="F161" s="2018" t="s">
        <v>62</v>
      </c>
      <c r="G161" s="2022" t="s">
        <v>1015</v>
      </c>
      <c r="H161" s="2023">
        <v>0</v>
      </c>
      <c r="I161" s="2024">
        <v>0</v>
      </c>
      <c r="J161" s="2025">
        <v>0</v>
      </c>
      <c r="K161" s="2026">
        <v>0</v>
      </c>
      <c r="L161" s="2027">
        <v>0</v>
      </c>
      <c r="M161" s="2028">
        <v>0</v>
      </c>
      <c r="N161" s="2029">
        <v>0</v>
      </c>
      <c r="O161" s="2030">
        <v>0</v>
      </c>
      <c r="P161" s="2011">
        <v>0</v>
      </c>
      <c r="Q161" s="2031">
        <v>0</v>
      </c>
      <c r="R161" s="2039">
        <v>0</v>
      </c>
      <c r="S161" s="2040">
        <v>0</v>
      </c>
      <c r="T161" s="2039">
        <f t="shared" si="11"/>
        <v>0</v>
      </c>
      <c r="U161" s="2006">
        <v>0</v>
      </c>
      <c r="V161" s="1586">
        <v>0</v>
      </c>
      <c r="W161" s="1586">
        <v>0</v>
      </c>
      <c r="X161" s="2007">
        <v>0</v>
      </c>
      <c r="Y161" s="2008">
        <v>0</v>
      </c>
      <c r="Z161" s="2009">
        <v>0</v>
      </c>
      <c r="AA161" s="2010">
        <v>0</v>
      </c>
      <c r="AB161" s="2011">
        <v>0</v>
      </c>
      <c r="AC161" s="2012">
        <v>0</v>
      </c>
      <c r="AD161" s="2082">
        <v>0</v>
      </c>
      <c r="AE161" s="2013" t="s">
        <v>1460</v>
      </c>
      <c r="AF161" s="2015" t="s">
        <v>516</v>
      </c>
      <c r="AG161" s="2016" t="s">
        <v>1010</v>
      </c>
      <c r="AH161" s="1587" t="s">
        <v>514</v>
      </c>
      <c r="AI161" s="2017" t="s">
        <v>513</v>
      </c>
    </row>
    <row r="162" spans="1:35" ht="25.5" x14ac:dyDescent="0.25">
      <c r="A162" s="62" t="s">
        <v>1016</v>
      </c>
      <c r="B162" s="85" t="s">
        <v>494</v>
      </c>
      <c r="C162" s="71">
        <v>2020</v>
      </c>
      <c r="D162" s="5" t="s">
        <v>1213</v>
      </c>
      <c r="E162" s="63" t="s">
        <v>62</v>
      </c>
      <c r="F162" s="63" t="s">
        <v>62</v>
      </c>
      <c r="G162" s="1244" t="s">
        <v>1017</v>
      </c>
      <c r="H162" s="16">
        <v>578.17700000000002</v>
      </c>
      <c r="I162" s="11">
        <v>0</v>
      </c>
      <c r="J162" s="24">
        <v>0</v>
      </c>
      <c r="K162" s="412">
        <v>0</v>
      </c>
      <c r="L162" s="1252">
        <v>0</v>
      </c>
      <c r="M162" s="1251">
        <v>0</v>
      </c>
      <c r="N162" s="850">
        <v>0</v>
      </c>
      <c r="O162" s="155">
        <v>0</v>
      </c>
      <c r="P162" s="201">
        <v>0</v>
      </c>
      <c r="Q162" s="162">
        <v>0</v>
      </c>
      <c r="R162" s="1268">
        <v>0</v>
      </c>
      <c r="S162" s="1269">
        <v>0</v>
      </c>
      <c r="T162" s="1268">
        <f t="shared" si="11"/>
        <v>0</v>
      </c>
      <c r="U162" s="850">
        <v>0</v>
      </c>
      <c r="V162" s="201">
        <v>0</v>
      </c>
      <c r="W162" s="201">
        <v>0</v>
      </c>
      <c r="X162" s="17">
        <v>0</v>
      </c>
      <c r="Y162" s="422">
        <v>0</v>
      </c>
      <c r="Z162" s="395">
        <v>578.17700000000002</v>
      </c>
      <c r="AA162" s="33">
        <v>0</v>
      </c>
      <c r="AB162" s="201">
        <v>0</v>
      </c>
      <c r="AC162" s="29">
        <v>0</v>
      </c>
      <c r="AD162" s="2073">
        <v>0</v>
      </c>
      <c r="AE162" s="52" t="s">
        <v>484</v>
      </c>
      <c r="AF162" s="5" t="s">
        <v>19</v>
      </c>
      <c r="AG162" s="246" t="s">
        <v>1010</v>
      </c>
      <c r="AH162" s="193" t="s">
        <v>513</v>
      </c>
      <c r="AI162" s="104" t="s">
        <v>513</v>
      </c>
    </row>
    <row r="163" spans="1:35" ht="25.5" x14ac:dyDescent="0.25">
      <c r="A163" s="62" t="s">
        <v>1018</v>
      </c>
      <c r="B163" s="85" t="s">
        <v>494</v>
      </c>
      <c r="C163" s="71">
        <v>2020</v>
      </c>
      <c r="D163" s="5" t="s">
        <v>1213</v>
      </c>
      <c r="E163" s="5" t="s">
        <v>900</v>
      </c>
      <c r="F163" s="63" t="s">
        <v>62</v>
      </c>
      <c r="G163" s="152" t="s">
        <v>1019</v>
      </c>
      <c r="H163" s="16">
        <v>3850</v>
      </c>
      <c r="I163" s="11">
        <v>0</v>
      </c>
      <c r="J163" s="24">
        <v>0</v>
      </c>
      <c r="K163" s="412">
        <v>0</v>
      </c>
      <c r="L163" s="1252">
        <v>0</v>
      </c>
      <c r="M163" s="1251">
        <v>0</v>
      </c>
      <c r="N163" s="850">
        <v>0</v>
      </c>
      <c r="O163" s="155">
        <v>0</v>
      </c>
      <c r="P163" s="201">
        <v>0</v>
      </c>
      <c r="Q163" s="162">
        <v>0</v>
      </c>
      <c r="R163" s="1268">
        <v>0</v>
      </c>
      <c r="S163" s="1269">
        <v>0</v>
      </c>
      <c r="T163" s="1268">
        <f t="shared" si="11"/>
        <v>0</v>
      </c>
      <c r="U163" s="850">
        <v>0</v>
      </c>
      <c r="V163" s="201">
        <v>3850</v>
      </c>
      <c r="W163" s="201">
        <v>0</v>
      </c>
      <c r="X163" s="17">
        <v>0</v>
      </c>
      <c r="Y163" s="422">
        <v>3850</v>
      </c>
      <c r="Z163" s="395">
        <v>0</v>
      </c>
      <c r="AA163" s="33">
        <v>0</v>
      </c>
      <c r="AB163" s="201">
        <v>0</v>
      </c>
      <c r="AC163" s="29">
        <v>0</v>
      </c>
      <c r="AD163" s="1231">
        <v>0</v>
      </c>
      <c r="AE163" s="119" t="s">
        <v>484</v>
      </c>
      <c r="AF163" s="5" t="s">
        <v>43</v>
      </c>
      <c r="AG163" s="246" t="s">
        <v>1007</v>
      </c>
      <c r="AH163" s="193" t="s">
        <v>514</v>
      </c>
      <c r="AI163" s="104" t="s">
        <v>514</v>
      </c>
    </row>
    <row r="164" spans="1:35" s="388" customFormat="1" ht="30" x14ac:dyDescent="0.25">
      <c r="A164" s="1579" t="s">
        <v>1020</v>
      </c>
      <c r="B164" s="1580" t="s">
        <v>494</v>
      </c>
      <c r="C164" s="1602">
        <v>2020</v>
      </c>
      <c r="D164" s="1086" t="s">
        <v>1213</v>
      </c>
      <c r="E164" s="1086" t="s">
        <v>900</v>
      </c>
      <c r="F164" s="1581" t="s">
        <v>62</v>
      </c>
      <c r="G164" s="1646" t="s">
        <v>1021</v>
      </c>
      <c r="H164" s="621">
        <v>0</v>
      </c>
      <c r="I164" s="690">
        <v>0</v>
      </c>
      <c r="J164" s="1208">
        <v>0</v>
      </c>
      <c r="K164" s="1996">
        <v>0</v>
      </c>
      <c r="L164" s="1583">
        <v>0</v>
      </c>
      <c r="M164" s="1582">
        <v>0</v>
      </c>
      <c r="N164" s="1196">
        <v>0</v>
      </c>
      <c r="O164" s="1619">
        <v>0</v>
      </c>
      <c r="P164" s="1195">
        <v>0</v>
      </c>
      <c r="Q164" s="1599">
        <v>0</v>
      </c>
      <c r="R164" s="1584">
        <v>11938</v>
      </c>
      <c r="S164" s="1585">
        <v>-11938</v>
      </c>
      <c r="T164" s="1584">
        <f t="shared" si="11"/>
        <v>0</v>
      </c>
      <c r="U164" s="1196">
        <v>0</v>
      </c>
      <c r="V164" s="1195">
        <v>0</v>
      </c>
      <c r="W164" s="1195">
        <v>0</v>
      </c>
      <c r="X164" s="1197">
        <v>0</v>
      </c>
      <c r="Y164" s="1620">
        <v>0</v>
      </c>
      <c r="Z164" s="1600">
        <v>0</v>
      </c>
      <c r="AA164" s="1601">
        <v>0</v>
      </c>
      <c r="AB164" s="1195">
        <v>0</v>
      </c>
      <c r="AC164" s="1084">
        <v>0</v>
      </c>
      <c r="AD164" s="1584">
        <v>0</v>
      </c>
      <c r="AE164" s="680" t="s">
        <v>1469</v>
      </c>
      <c r="AF164" s="1086" t="s">
        <v>516</v>
      </c>
      <c r="AG164" s="1603" t="s">
        <v>732</v>
      </c>
      <c r="AH164" s="1587" t="s">
        <v>514</v>
      </c>
      <c r="AI164" s="1588" t="s">
        <v>513</v>
      </c>
    </row>
    <row r="165" spans="1:35" s="388" customFormat="1" ht="25.5" x14ac:dyDescent="0.25">
      <c r="A165" s="1579" t="s">
        <v>1022</v>
      </c>
      <c r="B165" s="1580" t="s">
        <v>494</v>
      </c>
      <c r="C165" s="1602">
        <v>2020</v>
      </c>
      <c r="D165" s="1086" t="s">
        <v>1213</v>
      </c>
      <c r="E165" s="1086" t="s">
        <v>900</v>
      </c>
      <c r="F165" s="1581" t="s">
        <v>62</v>
      </c>
      <c r="G165" s="1646" t="s">
        <v>1023</v>
      </c>
      <c r="H165" s="621">
        <v>0</v>
      </c>
      <c r="I165" s="690">
        <v>0</v>
      </c>
      <c r="J165" s="1208">
        <v>0</v>
      </c>
      <c r="K165" s="1996">
        <v>0</v>
      </c>
      <c r="L165" s="1583">
        <v>0</v>
      </c>
      <c r="M165" s="1582">
        <v>0</v>
      </c>
      <c r="N165" s="1196">
        <v>0</v>
      </c>
      <c r="O165" s="1619">
        <v>0</v>
      </c>
      <c r="P165" s="1195">
        <v>0</v>
      </c>
      <c r="Q165" s="1599">
        <v>0</v>
      </c>
      <c r="R165" s="1584">
        <v>0</v>
      </c>
      <c r="S165" s="1585">
        <v>0</v>
      </c>
      <c r="T165" s="1584">
        <f t="shared" si="11"/>
        <v>0</v>
      </c>
      <c r="U165" s="1196">
        <v>0</v>
      </c>
      <c r="V165" s="1195">
        <v>0</v>
      </c>
      <c r="W165" s="1195">
        <v>0</v>
      </c>
      <c r="X165" s="1197">
        <v>0</v>
      </c>
      <c r="Y165" s="1620">
        <v>0</v>
      </c>
      <c r="Z165" s="1600">
        <v>0</v>
      </c>
      <c r="AA165" s="1601">
        <v>0</v>
      </c>
      <c r="AB165" s="1195">
        <v>0</v>
      </c>
      <c r="AC165" s="1084">
        <v>0</v>
      </c>
      <c r="AD165" s="1584">
        <v>0</v>
      </c>
      <c r="AE165" s="680" t="s">
        <v>1469</v>
      </c>
      <c r="AF165" s="1086" t="s">
        <v>516</v>
      </c>
      <c r="AG165" s="1603" t="s">
        <v>1010</v>
      </c>
      <c r="AH165" s="1587" t="s">
        <v>514</v>
      </c>
      <c r="AI165" s="1588" t="s">
        <v>513</v>
      </c>
    </row>
    <row r="166" spans="1:35" s="388" customFormat="1" ht="25.5" x14ac:dyDescent="0.25">
      <c r="A166" s="1579" t="s">
        <v>1024</v>
      </c>
      <c r="B166" s="1580" t="s">
        <v>494</v>
      </c>
      <c r="C166" s="1602">
        <v>2020</v>
      </c>
      <c r="D166" s="1086" t="s">
        <v>1213</v>
      </c>
      <c r="E166" s="1086" t="s">
        <v>900</v>
      </c>
      <c r="F166" s="1581" t="s">
        <v>62</v>
      </c>
      <c r="G166" s="1646" t="s">
        <v>1025</v>
      </c>
      <c r="H166" s="621">
        <v>0</v>
      </c>
      <c r="I166" s="690">
        <v>0</v>
      </c>
      <c r="J166" s="1208">
        <v>0</v>
      </c>
      <c r="K166" s="1996">
        <v>0</v>
      </c>
      <c r="L166" s="1583">
        <v>0</v>
      </c>
      <c r="M166" s="1582">
        <v>0</v>
      </c>
      <c r="N166" s="1196">
        <v>0</v>
      </c>
      <c r="O166" s="1619">
        <v>0</v>
      </c>
      <c r="P166" s="1195">
        <v>0</v>
      </c>
      <c r="Q166" s="1599">
        <v>0</v>
      </c>
      <c r="R166" s="1584">
        <v>0</v>
      </c>
      <c r="S166" s="1585">
        <v>0</v>
      </c>
      <c r="T166" s="1584">
        <f t="shared" si="11"/>
        <v>0</v>
      </c>
      <c r="U166" s="1196">
        <v>0</v>
      </c>
      <c r="V166" s="1195">
        <v>0</v>
      </c>
      <c r="W166" s="1195">
        <v>0</v>
      </c>
      <c r="X166" s="1197">
        <v>0</v>
      </c>
      <c r="Y166" s="1620">
        <v>0</v>
      </c>
      <c r="Z166" s="1600">
        <v>0</v>
      </c>
      <c r="AA166" s="1601">
        <v>0</v>
      </c>
      <c r="AB166" s="1195">
        <v>0</v>
      </c>
      <c r="AC166" s="1084">
        <v>0</v>
      </c>
      <c r="AD166" s="1584">
        <v>0</v>
      </c>
      <c r="AE166" s="680" t="s">
        <v>1469</v>
      </c>
      <c r="AF166" s="1086" t="s">
        <v>516</v>
      </c>
      <c r="AG166" s="1603" t="s">
        <v>1010</v>
      </c>
      <c r="AH166" s="1587" t="s">
        <v>514</v>
      </c>
      <c r="AI166" s="1588" t="s">
        <v>513</v>
      </c>
    </row>
    <row r="167" spans="1:35" s="1912" customFormat="1" ht="25.5" x14ac:dyDescent="0.25">
      <c r="A167" s="1579" t="s">
        <v>1026</v>
      </c>
      <c r="B167" s="1580" t="s">
        <v>494</v>
      </c>
      <c r="C167" s="1602">
        <v>2020</v>
      </c>
      <c r="D167" s="1086" t="s">
        <v>1213</v>
      </c>
      <c r="E167" s="1086" t="s">
        <v>900</v>
      </c>
      <c r="F167" s="1581" t="s">
        <v>62</v>
      </c>
      <c r="G167" s="1646" t="s">
        <v>1027</v>
      </c>
      <c r="H167" s="621">
        <v>0</v>
      </c>
      <c r="I167" s="690">
        <v>0</v>
      </c>
      <c r="J167" s="1208">
        <v>0</v>
      </c>
      <c r="K167" s="1996">
        <v>0</v>
      </c>
      <c r="L167" s="1583">
        <v>0</v>
      </c>
      <c r="M167" s="1582">
        <v>0</v>
      </c>
      <c r="N167" s="1196">
        <v>0</v>
      </c>
      <c r="O167" s="1619">
        <v>0</v>
      </c>
      <c r="P167" s="1195">
        <v>0</v>
      </c>
      <c r="Q167" s="1599">
        <v>0</v>
      </c>
      <c r="R167" s="1584">
        <v>0</v>
      </c>
      <c r="S167" s="1585">
        <v>0</v>
      </c>
      <c r="T167" s="1584">
        <f t="shared" si="11"/>
        <v>0</v>
      </c>
      <c r="U167" s="1196">
        <v>0</v>
      </c>
      <c r="V167" s="1195">
        <v>0</v>
      </c>
      <c r="W167" s="1195">
        <v>0</v>
      </c>
      <c r="X167" s="1197">
        <v>0</v>
      </c>
      <c r="Y167" s="1620">
        <v>0</v>
      </c>
      <c r="Z167" s="1600">
        <v>0</v>
      </c>
      <c r="AA167" s="1601">
        <v>0</v>
      </c>
      <c r="AB167" s="1195">
        <v>0</v>
      </c>
      <c r="AC167" s="1084">
        <v>0</v>
      </c>
      <c r="AD167" s="1584">
        <v>0</v>
      </c>
      <c r="AE167" s="680" t="s">
        <v>1460</v>
      </c>
      <c r="AF167" s="1086" t="s">
        <v>516</v>
      </c>
      <c r="AG167" s="1603" t="s">
        <v>1010</v>
      </c>
      <c r="AH167" s="1587" t="s">
        <v>514</v>
      </c>
      <c r="AI167" s="1588" t="s">
        <v>513</v>
      </c>
    </row>
    <row r="168" spans="1:35" s="1912" customFormat="1" ht="25.5" x14ac:dyDescent="0.25">
      <c r="A168" s="1579" t="s">
        <v>1028</v>
      </c>
      <c r="B168" s="1580" t="s">
        <v>494</v>
      </c>
      <c r="C168" s="1602">
        <v>2020</v>
      </c>
      <c r="D168" s="1086" t="s">
        <v>1213</v>
      </c>
      <c r="E168" s="1086" t="s">
        <v>900</v>
      </c>
      <c r="F168" s="1581" t="s">
        <v>62</v>
      </c>
      <c r="G168" s="1646" t="s">
        <v>1029</v>
      </c>
      <c r="H168" s="621">
        <v>0</v>
      </c>
      <c r="I168" s="690">
        <v>0</v>
      </c>
      <c r="J168" s="1208">
        <v>0</v>
      </c>
      <c r="K168" s="1996">
        <v>0</v>
      </c>
      <c r="L168" s="1583">
        <v>0</v>
      </c>
      <c r="M168" s="1582">
        <v>0</v>
      </c>
      <c r="N168" s="1196">
        <v>0</v>
      </c>
      <c r="O168" s="1619">
        <v>0</v>
      </c>
      <c r="P168" s="1195">
        <v>0</v>
      </c>
      <c r="Q168" s="1599">
        <v>0</v>
      </c>
      <c r="R168" s="1584">
        <v>9680</v>
      </c>
      <c r="S168" s="1585">
        <v>-9680</v>
      </c>
      <c r="T168" s="1584">
        <f t="shared" si="11"/>
        <v>0</v>
      </c>
      <c r="U168" s="1196">
        <v>0</v>
      </c>
      <c r="V168" s="1195">
        <v>0</v>
      </c>
      <c r="W168" s="1195">
        <v>0</v>
      </c>
      <c r="X168" s="1197">
        <v>0</v>
      </c>
      <c r="Y168" s="1620">
        <v>0</v>
      </c>
      <c r="Z168" s="1600">
        <v>0</v>
      </c>
      <c r="AA168" s="1601">
        <v>0</v>
      </c>
      <c r="AB168" s="1195">
        <v>0</v>
      </c>
      <c r="AC168" s="1084">
        <v>0</v>
      </c>
      <c r="AD168" s="1584">
        <v>0</v>
      </c>
      <c r="AE168" s="680" t="s">
        <v>1460</v>
      </c>
      <c r="AF168" s="1086" t="s">
        <v>516</v>
      </c>
      <c r="AG168" s="1603" t="s">
        <v>732</v>
      </c>
      <c r="AH168" s="1587" t="s">
        <v>514</v>
      </c>
      <c r="AI168" s="1588" t="s">
        <v>513</v>
      </c>
    </row>
    <row r="169" spans="1:35" s="388" customFormat="1" ht="26.25" thickBot="1" x14ac:dyDescent="0.3">
      <c r="A169" s="172" t="s">
        <v>1114</v>
      </c>
      <c r="B169" s="403" t="s">
        <v>494</v>
      </c>
      <c r="C169" s="831">
        <v>2020</v>
      </c>
      <c r="D169" s="167" t="s">
        <v>1213</v>
      </c>
      <c r="E169" s="68" t="s">
        <v>900</v>
      </c>
      <c r="F169" s="307" t="s">
        <v>62</v>
      </c>
      <c r="G169" s="1647" t="s">
        <v>1115</v>
      </c>
      <c r="H169" s="174">
        <v>207</v>
      </c>
      <c r="I169" s="692">
        <v>0</v>
      </c>
      <c r="J169" s="174">
        <v>0</v>
      </c>
      <c r="K169" s="1284">
        <v>0</v>
      </c>
      <c r="L169" s="1284">
        <v>0</v>
      </c>
      <c r="M169" s="1284">
        <v>0</v>
      </c>
      <c r="N169" s="322">
        <v>0</v>
      </c>
      <c r="O169" s="332">
        <v>0</v>
      </c>
      <c r="P169" s="308">
        <v>0</v>
      </c>
      <c r="Q169" s="308">
        <v>207</v>
      </c>
      <c r="R169" s="1396">
        <v>207</v>
      </c>
      <c r="S169" s="495">
        <v>0</v>
      </c>
      <c r="T169" s="1396">
        <f t="shared" si="11"/>
        <v>207</v>
      </c>
      <c r="U169" s="322">
        <v>0</v>
      </c>
      <c r="V169" s="308">
        <v>0</v>
      </c>
      <c r="W169" s="308">
        <v>0</v>
      </c>
      <c r="X169" s="176">
        <v>0</v>
      </c>
      <c r="Y169" s="1621">
        <v>0</v>
      </c>
      <c r="Z169" s="1622">
        <v>0</v>
      </c>
      <c r="AA169" s="323">
        <v>0</v>
      </c>
      <c r="AB169" s="308">
        <v>0</v>
      </c>
      <c r="AC169" s="323">
        <v>0</v>
      </c>
      <c r="AD169" s="2076">
        <v>0</v>
      </c>
      <c r="AE169" s="427" t="s">
        <v>484</v>
      </c>
      <c r="AF169" s="167" t="s">
        <v>535</v>
      </c>
      <c r="AG169" s="178" t="s">
        <v>523</v>
      </c>
      <c r="AH169" s="309" t="s">
        <v>514</v>
      </c>
      <c r="AI169" s="178" t="s">
        <v>514</v>
      </c>
    </row>
    <row r="170" spans="1:35" s="1913" customFormat="1" ht="30" x14ac:dyDescent="0.25">
      <c r="A170" s="1191" t="s">
        <v>1176</v>
      </c>
      <c r="B170" s="2032" t="s">
        <v>494</v>
      </c>
      <c r="C170" s="1997">
        <v>2020</v>
      </c>
      <c r="D170" s="1998" t="s">
        <v>1220</v>
      </c>
      <c r="E170" s="1997" t="s">
        <v>900</v>
      </c>
      <c r="F170" s="1570" t="s">
        <v>62</v>
      </c>
      <c r="G170" s="2033" t="s">
        <v>1177</v>
      </c>
      <c r="H170" s="2034">
        <v>0</v>
      </c>
      <c r="I170" s="2035">
        <v>0</v>
      </c>
      <c r="J170" s="2023">
        <v>0</v>
      </c>
      <c r="K170" s="1996">
        <v>0</v>
      </c>
      <c r="L170" s="2036">
        <v>0</v>
      </c>
      <c r="M170" s="2037">
        <v>0</v>
      </c>
      <c r="N170" s="2006">
        <v>0</v>
      </c>
      <c r="O170" s="2038">
        <v>0</v>
      </c>
      <c r="P170" s="1586">
        <v>0</v>
      </c>
      <c r="Q170" s="1586">
        <v>0</v>
      </c>
      <c r="R170" s="2039">
        <v>38000</v>
      </c>
      <c r="S170" s="2040">
        <v>-38000</v>
      </c>
      <c r="T170" s="2039">
        <f t="shared" si="11"/>
        <v>0</v>
      </c>
      <c r="U170" s="2029">
        <v>0</v>
      </c>
      <c r="V170" s="2011">
        <v>0</v>
      </c>
      <c r="W170" s="2011">
        <v>0</v>
      </c>
      <c r="X170" s="2041">
        <v>0</v>
      </c>
      <c r="Y170" s="2009">
        <v>0</v>
      </c>
      <c r="Z170" s="2042">
        <v>0</v>
      </c>
      <c r="AA170" s="2010">
        <v>0</v>
      </c>
      <c r="AB170" s="2011">
        <v>0</v>
      </c>
      <c r="AC170" s="2012">
        <v>0</v>
      </c>
      <c r="AD170" s="2039">
        <v>0</v>
      </c>
      <c r="AE170" s="691" t="s">
        <v>1461</v>
      </c>
      <c r="AF170" s="2015" t="s">
        <v>516</v>
      </c>
      <c r="AG170" s="2043" t="s">
        <v>1006</v>
      </c>
      <c r="AH170" s="2044" t="s">
        <v>514</v>
      </c>
      <c r="AI170" s="1202" t="s">
        <v>514</v>
      </c>
    </row>
    <row r="171" spans="1:35" s="1913" customFormat="1" ht="30" x14ac:dyDescent="0.25">
      <c r="A171" s="1579" t="s">
        <v>1178</v>
      </c>
      <c r="B171" s="1580" t="s">
        <v>494</v>
      </c>
      <c r="C171" s="620">
        <v>2020</v>
      </c>
      <c r="D171" s="1999" t="s">
        <v>1220</v>
      </c>
      <c r="E171" s="1086" t="s">
        <v>900</v>
      </c>
      <c r="F171" s="1581" t="s">
        <v>62</v>
      </c>
      <c r="G171" s="1646" t="s">
        <v>1179</v>
      </c>
      <c r="H171" s="621">
        <v>0</v>
      </c>
      <c r="I171" s="1083">
        <v>0</v>
      </c>
      <c r="J171" s="621">
        <v>0</v>
      </c>
      <c r="K171" s="1996">
        <v>0</v>
      </c>
      <c r="L171" s="2045">
        <v>0</v>
      </c>
      <c r="M171" s="2046">
        <v>0</v>
      </c>
      <c r="N171" s="1196">
        <v>0</v>
      </c>
      <c r="O171" s="1619">
        <v>0</v>
      </c>
      <c r="P171" s="1195">
        <v>0</v>
      </c>
      <c r="Q171" s="1195">
        <v>0</v>
      </c>
      <c r="R171" s="1584">
        <v>12079</v>
      </c>
      <c r="S171" s="1585">
        <v>-12079</v>
      </c>
      <c r="T171" s="1584">
        <f t="shared" si="11"/>
        <v>0</v>
      </c>
      <c r="U171" s="1196">
        <v>0</v>
      </c>
      <c r="V171" s="1195">
        <v>0</v>
      </c>
      <c r="W171" s="1195">
        <v>0</v>
      </c>
      <c r="X171" s="1197">
        <v>0</v>
      </c>
      <c r="Y171" s="1600">
        <v>0</v>
      </c>
      <c r="Z171" s="1620">
        <v>0</v>
      </c>
      <c r="AA171" s="1601">
        <v>0</v>
      </c>
      <c r="AB171" s="1195">
        <v>0</v>
      </c>
      <c r="AC171" s="1084">
        <v>0</v>
      </c>
      <c r="AD171" s="1584">
        <v>0</v>
      </c>
      <c r="AE171" s="680" t="s">
        <v>1461</v>
      </c>
      <c r="AF171" s="1086" t="s">
        <v>516</v>
      </c>
      <c r="AG171" s="2047" t="s">
        <v>1052</v>
      </c>
      <c r="AH171" s="2048" t="s">
        <v>514</v>
      </c>
      <c r="AI171" s="1588" t="s">
        <v>514</v>
      </c>
    </row>
    <row r="172" spans="1:35" ht="30" x14ac:dyDescent="0.25">
      <c r="A172" s="987" t="s">
        <v>1180</v>
      </c>
      <c r="B172" s="988" t="s">
        <v>1454</v>
      </c>
      <c r="C172" s="298">
        <v>2020</v>
      </c>
      <c r="D172" s="1624" t="s">
        <v>1220</v>
      </c>
      <c r="E172" s="298" t="s">
        <v>900</v>
      </c>
      <c r="F172" s="407" t="s">
        <v>62</v>
      </c>
      <c r="G172" s="1625" t="s">
        <v>1453</v>
      </c>
      <c r="H172" s="300">
        <v>1049</v>
      </c>
      <c r="I172" s="525">
        <v>0</v>
      </c>
      <c r="J172" s="300">
        <v>0</v>
      </c>
      <c r="K172" s="1916">
        <v>0</v>
      </c>
      <c r="L172" s="806">
        <v>1031</v>
      </c>
      <c r="M172" s="1626">
        <v>0</v>
      </c>
      <c r="N172" s="927">
        <v>0</v>
      </c>
      <c r="O172" s="526">
        <v>0</v>
      </c>
      <c r="P172" s="527">
        <f>500-500</f>
        <v>0</v>
      </c>
      <c r="Q172" s="527">
        <f>549+500</f>
        <v>1049</v>
      </c>
      <c r="R172" s="1546">
        <v>1031</v>
      </c>
      <c r="S172" s="1547">
        <v>18</v>
      </c>
      <c r="T172" s="1546">
        <f t="shared" si="11"/>
        <v>1049</v>
      </c>
      <c r="U172" s="927">
        <v>0</v>
      </c>
      <c r="V172" s="527">
        <v>0</v>
      </c>
      <c r="W172" s="527">
        <v>0</v>
      </c>
      <c r="X172" s="575">
        <v>0</v>
      </c>
      <c r="Y172" s="1187">
        <v>0</v>
      </c>
      <c r="Z172" s="1627">
        <v>0</v>
      </c>
      <c r="AA172" s="1120">
        <v>0</v>
      </c>
      <c r="AB172" s="527">
        <v>0</v>
      </c>
      <c r="AC172" s="528">
        <v>0</v>
      </c>
      <c r="AD172" s="1674">
        <v>0</v>
      </c>
      <c r="AE172" s="280" t="s">
        <v>1357</v>
      </c>
      <c r="AF172" s="298" t="s">
        <v>43</v>
      </c>
      <c r="AG172" s="406" t="s">
        <v>732</v>
      </c>
      <c r="AH172" s="1628" t="s">
        <v>514</v>
      </c>
      <c r="AI172" s="992" t="s">
        <v>514</v>
      </c>
    </row>
    <row r="173" spans="1:35" ht="30" x14ac:dyDescent="0.25">
      <c r="A173" s="62" t="s">
        <v>1181</v>
      </c>
      <c r="B173" s="85" t="s">
        <v>494</v>
      </c>
      <c r="C173" s="5">
        <v>2020</v>
      </c>
      <c r="D173" s="1629" t="s">
        <v>1220</v>
      </c>
      <c r="E173" s="5" t="s">
        <v>900</v>
      </c>
      <c r="F173" s="63" t="s">
        <v>62</v>
      </c>
      <c r="G173" s="152" t="s">
        <v>1182</v>
      </c>
      <c r="H173" s="16">
        <v>65000</v>
      </c>
      <c r="I173" s="161">
        <v>0</v>
      </c>
      <c r="J173" s="16">
        <v>0</v>
      </c>
      <c r="K173" s="412">
        <v>0</v>
      </c>
      <c r="L173" s="782">
        <v>0</v>
      </c>
      <c r="M173" s="1254">
        <v>0</v>
      </c>
      <c r="N173" s="850">
        <v>0</v>
      </c>
      <c r="O173" s="155">
        <v>0</v>
      </c>
      <c r="P173" s="201">
        <v>0</v>
      </c>
      <c r="Q173" s="201">
        <v>0</v>
      </c>
      <c r="R173" s="1268">
        <v>0</v>
      </c>
      <c r="S173" s="1269">
        <v>0</v>
      </c>
      <c r="T173" s="1268">
        <f t="shared" si="11"/>
        <v>0</v>
      </c>
      <c r="U173" s="850">
        <v>0</v>
      </c>
      <c r="V173" s="201">
        <v>0</v>
      </c>
      <c r="W173" s="201">
        <v>0</v>
      </c>
      <c r="X173" s="1240">
        <v>0</v>
      </c>
      <c r="Y173" s="395">
        <v>0</v>
      </c>
      <c r="Z173" s="422">
        <v>65000</v>
      </c>
      <c r="AA173" s="33">
        <v>0</v>
      </c>
      <c r="AB173" s="201">
        <v>0</v>
      </c>
      <c r="AC173" s="29">
        <v>0</v>
      </c>
      <c r="AD173" s="2073">
        <v>0</v>
      </c>
      <c r="AE173" s="52" t="s">
        <v>484</v>
      </c>
      <c r="AF173" s="5" t="s">
        <v>19</v>
      </c>
      <c r="AG173" s="228" t="s">
        <v>962</v>
      </c>
      <c r="AH173" s="1235" t="s">
        <v>513</v>
      </c>
      <c r="AI173" s="104" t="s">
        <v>513</v>
      </c>
    </row>
    <row r="174" spans="1:35" ht="30" x14ac:dyDescent="0.25">
      <c r="A174" s="993" t="s">
        <v>1183</v>
      </c>
      <c r="B174" s="945" t="s">
        <v>494</v>
      </c>
      <c r="C174" s="454">
        <v>2020</v>
      </c>
      <c r="D174" s="1630" t="s">
        <v>1220</v>
      </c>
      <c r="E174" s="454" t="s">
        <v>900</v>
      </c>
      <c r="F174" s="576" t="s">
        <v>62</v>
      </c>
      <c r="G174" s="1631" t="s">
        <v>1184</v>
      </c>
      <c r="H174" s="551">
        <v>150000</v>
      </c>
      <c r="I174" s="577">
        <v>0</v>
      </c>
      <c r="J174" s="551">
        <v>0</v>
      </c>
      <c r="K174" s="1901">
        <v>0</v>
      </c>
      <c r="L174" s="1553">
        <v>0</v>
      </c>
      <c r="M174" s="1552">
        <v>0</v>
      </c>
      <c r="N174" s="919">
        <v>0</v>
      </c>
      <c r="O174" s="1096">
        <v>0</v>
      </c>
      <c r="P174" s="920">
        <v>0</v>
      </c>
      <c r="Q174" s="920">
        <v>0</v>
      </c>
      <c r="R174" s="1449">
        <v>20000</v>
      </c>
      <c r="S174" s="1450">
        <v>-20000</v>
      </c>
      <c r="T174" s="1449">
        <f t="shared" si="11"/>
        <v>0</v>
      </c>
      <c r="U174" s="919">
        <v>5000</v>
      </c>
      <c r="V174" s="920">
        <v>5000</v>
      </c>
      <c r="W174" s="920">
        <v>5000</v>
      </c>
      <c r="X174" s="1632">
        <v>5000</v>
      </c>
      <c r="Y174" s="1129">
        <v>20000</v>
      </c>
      <c r="Z174" s="1128">
        <v>130000</v>
      </c>
      <c r="AA174" s="556">
        <v>0</v>
      </c>
      <c r="AB174" s="920">
        <v>0</v>
      </c>
      <c r="AC174" s="547">
        <v>0</v>
      </c>
      <c r="AD174" s="1449">
        <v>0</v>
      </c>
      <c r="AE174" s="359" t="s">
        <v>1358</v>
      </c>
      <c r="AF174" s="454" t="s">
        <v>19</v>
      </c>
      <c r="AG174" s="660" t="s">
        <v>962</v>
      </c>
      <c r="AH174" s="1633" t="s">
        <v>513</v>
      </c>
      <c r="AI174" s="555" t="s">
        <v>513</v>
      </c>
    </row>
    <row r="175" spans="1:35" ht="30" x14ac:dyDescent="0.25">
      <c r="A175" s="993" t="s">
        <v>1185</v>
      </c>
      <c r="B175" s="945" t="s">
        <v>494</v>
      </c>
      <c r="C175" s="454">
        <v>2020</v>
      </c>
      <c r="D175" s="1630" t="s">
        <v>1220</v>
      </c>
      <c r="E175" s="454" t="s">
        <v>900</v>
      </c>
      <c r="F175" s="576" t="s">
        <v>62</v>
      </c>
      <c r="G175" s="1631" t="s">
        <v>1186</v>
      </c>
      <c r="H175" s="551">
        <v>4987</v>
      </c>
      <c r="I175" s="577">
        <v>0</v>
      </c>
      <c r="J175" s="551">
        <v>0</v>
      </c>
      <c r="K175" s="1901">
        <v>0</v>
      </c>
      <c r="L175" s="1553">
        <v>0</v>
      </c>
      <c r="M175" s="1552">
        <v>0</v>
      </c>
      <c r="N175" s="919">
        <v>0</v>
      </c>
      <c r="O175" s="1096">
        <v>0</v>
      </c>
      <c r="P175" s="920">
        <v>0</v>
      </c>
      <c r="Q175" s="920">
        <v>0</v>
      </c>
      <c r="R175" s="1449">
        <v>4987</v>
      </c>
      <c r="S175" s="1450">
        <v>-4987</v>
      </c>
      <c r="T175" s="1449">
        <f t="shared" si="11"/>
        <v>0</v>
      </c>
      <c r="U175" s="919">
        <v>4987</v>
      </c>
      <c r="V175" s="920">
        <v>0</v>
      </c>
      <c r="W175" s="920">
        <v>0</v>
      </c>
      <c r="X175" s="1632">
        <v>0</v>
      </c>
      <c r="Y175" s="578">
        <v>4987</v>
      </c>
      <c r="Z175" s="547">
        <v>0</v>
      </c>
      <c r="AA175" s="556">
        <v>0</v>
      </c>
      <c r="AB175" s="920">
        <v>0</v>
      </c>
      <c r="AC175" s="547">
        <v>0</v>
      </c>
      <c r="AD175" s="1468">
        <v>0</v>
      </c>
      <c r="AE175" s="574" t="s">
        <v>1359</v>
      </c>
      <c r="AF175" s="454" t="s">
        <v>43</v>
      </c>
      <c r="AG175" s="660" t="s">
        <v>609</v>
      </c>
      <c r="AH175" s="1633" t="s">
        <v>514</v>
      </c>
      <c r="AI175" s="555" t="s">
        <v>514</v>
      </c>
    </row>
    <row r="176" spans="1:35" ht="30" x14ac:dyDescent="0.25">
      <c r="A176" s="993" t="s">
        <v>1187</v>
      </c>
      <c r="B176" s="945" t="s">
        <v>494</v>
      </c>
      <c r="C176" s="454">
        <v>2020</v>
      </c>
      <c r="D176" s="1630" t="s">
        <v>1220</v>
      </c>
      <c r="E176" s="454" t="s">
        <v>900</v>
      </c>
      <c r="F176" s="576" t="s">
        <v>62</v>
      </c>
      <c r="G176" s="1631" t="s">
        <v>1188</v>
      </c>
      <c r="H176" s="551">
        <v>2735</v>
      </c>
      <c r="I176" s="577">
        <v>0</v>
      </c>
      <c r="J176" s="551">
        <v>0</v>
      </c>
      <c r="K176" s="1901">
        <v>0</v>
      </c>
      <c r="L176" s="1553">
        <v>0</v>
      </c>
      <c r="M176" s="1552">
        <v>0</v>
      </c>
      <c r="N176" s="919">
        <v>0</v>
      </c>
      <c r="O176" s="1096">
        <v>0</v>
      </c>
      <c r="P176" s="920">
        <v>0</v>
      </c>
      <c r="Q176" s="920">
        <v>0</v>
      </c>
      <c r="R176" s="1449">
        <v>2735</v>
      </c>
      <c r="S176" s="1450">
        <f t="shared" ref="S176:S185" si="12">-R176</f>
        <v>-2735</v>
      </c>
      <c r="T176" s="1449">
        <f t="shared" ref="T176:T188" si="13">R176+S176</f>
        <v>0</v>
      </c>
      <c r="U176" s="919">
        <v>0</v>
      </c>
      <c r="V176" s="920">
        <v>0</v>
      </c>
      <c r="W176" s="920">
        <v>0</v>
      </c>
      <c r="X176" s="1632">
        <v>0</v>
      </c>
      <c r="Y176" s="578">
        <v>0</v>
      </c>
      <c r="Z176" s="547">
        <v>2735</v>
      </c>
      <c r="AA176" s="556">
        <v>0</v>
      </c>
      <c r="AB176" s="920">
        <v>0</v>
      </c>
      <c r="AC176" s="547">
        <v>0</v>
      </c>
      <c r="AD176" s="1468">
        <v>0</v>
      </c>
      <c r="AE176" s="574" t="s">
        <v>1360</v>
      </c>
      <c r="AF176" s="454" t="s">
        <v>13</v>
      </c>
      <c r="AG176" s="1131" t="s">
        <v>1010</v>
      </c>
      <c r="AH176" s="1633" t="s">
        <v>513</v>
      </c>
      <c r="AI176" s="555" t="s">
        <v>513</v>
      </c>
    </row>
    <row r="177" spans="1:35" ht="30" x14ac:dyDescent="0.25">
      <c r="A177" s="993" t="s">
        <v>1189</v>
      </c>
      <c r="B177" s="945" t="s">
        <v>494</v>
      </c>
      <c r="C177" s="454">
        <v>2020</v>
      </c>
      <c r="D177" s="1630" t="s">
        <v>1220</v>
      </c>
      <c r="E177" s="454" t="s">
        <v>900</v>
      </c>
      <c r="F177" s="576" t="s">
        <v>62</v>
      </c>
      <c r="G177" s="1631" t="s">
        <v>1190</v>
      </c>
      <c r="H177" s="551">
        <v>2498</v>
      </c>
      <c r="I177" s="577">
        <v>0</v>
      </c>
      <c r="J177" s="551">
        <v>0</v>
      </c>
      <c r="K177" s="1901">
        <v>0</v>
      </c>
      <c r="L177" s="1553">
        <v>0</v>
      </c>
      <c r="M177" s="1552">
        <v>0</v>
      </c>
      <c r="N177" s="919">
        <v>0</v>
      </c>
      <c r="O177" s="1096">
        <v>0</v>
      </c>
      <c r="P177" s="920">
        <v>0</v>
      </c>
      <c r="Q177" s="920">
        <v>0</v>
      </c>
      <c r="R177" s="1449">
        <v>2498</v>
      </c>
      <c r="S177" s="1450">
        <f t="shared" si="12"/>
        <v>-2498</v>
      </c>
      <c r="T177" s="1449">
        <f t="shared" si="13"/>
        <v>0</v>
      </c>
      <c r="U177" s="919">
        <v>0</v>
      </c>
      <c r="V177" s="920">
        <v>0</v>
      </c>
      <c r="W177" s="920">
        <v>0</v>
      </c>
      <c r="X177" s="1632">
        <v>0</v>
      </c>
      <c r="Y177" s="578">
        <v>0</v>
      </c>
      <c r="Z177" s="547">
        <v>2498</v>
      </c>
      <c r="AA177" s="556">
        <v>0</v>
      </c>
      <c r="AB177" s="920">
        <v>0</v>
      </c>
      <c r="AC177" s="547">
        <v>0</v>
      </c>
      <c r="AD177" s="1468">
        <v>0</v>
      </c>
      <c r="AE177" s="574" t="s">
        <v>1361</v>
      </c>
      <c r="AF177" s="454" t="s">
        <v>13</v>
      </c>
      <c r="AG177" s="1131" t="s">
        <v>1010</v>
      </c>
      <c r="AH177" s="1633" t="s">
        <v>513</v>
      </c>
      <c r="AI177" s="555" t="s">
        <v>513</v>
      </c>
    </row>
    <row r="178" spans="1:35" ht="30" x14ac:dyDescent="0.25">
      <c r="A178" s="993" t="s">
        <v>1191</v>
      </c>
      <c r="B178" s="945" t="s">
        <v>494</v>
      </c>
      <c r="C178" s="454">
        <v>2020</v>
      </c>
      <c r="D178" s="1630" t="s">
        <v>1220</v>
      </c>
      <c r="E178" s="454" t="s">
        <v>900</v>
      </c>
      <c r="F178" s="576" t="s">
        <v>62</v>
      </c>
      <c r="G178" s="1631" t="s">
        <v>1362</v>
      </c>
      <c r="H178" s="551">
        <v>4988</v>
      </c>
      <c r="I178" s="577">
        <v>0</v>
      </c>
      <c r="J178" s="551">
        <v>0</v>
      </c>
      <c r="K178" s="1901">
        <v>0</v>
      </c>
      <c r="L178" s="1553">
        <v>0</v>
      </c>
      <c r="M178" s="1552">
        <v>0</v>
      </c>
      <c r="N178" s="919">
        <v>0</v>
      </c>
      <c r="O178" s="1096">
        <v>0</v>
      </c>
      <c r="P178" s="920">
        <v>0</v>
      </c>
      <c r="Q178" s="920">
        <v>0</v>
      </c>
      <c r="R178" s="1449">
        <v>4988</v>
      </c>
      <c r="S178" s="1450">
        <f t="shared" si="12"/>
        <v>-4988</v>
      </c>
      <c r="T178" s="1449">
        <f t="shared" si="13"/>
        <v>0</v>
      </c>
      <c r="U178" s="919">
        <v>0</v>
      </c>
      <c r="V178" s="920">
        <v>0</v>
      </c>
      <c r="W178" s="920">
        <v>0</v>
      </c>
      <c r="X178" s="1632">
        <v>0</v>
      </c>
      <c r="Y178" s="578">
        <v>0</v>
      </c>
      <c r="Z178" s="547">
        <v>4988</v>
      </c>
      <c r="AA178" s="556">
        <v>0</v>
      </c>
      <c r="AB178" s="920">
        <v>0</v>
      </c>
      <c r="AC178" s="547">
        <v>0</v>
      </c>
      <c r="AD178" s="1468">
        <v>0</v>
      </c>
      <c r="AE178" s="574" t="s">
        <v>1363</v>
      </c>
      <c r="AF178" s="454" t="s">
        <v>13</v>
      </c>
      <c r="AG178" s="1131" t="s">
        <v>1010</v>
      </c>
      <c r="AH178" s="1633" t="s">
        <v>513</v>
      </c>
      <c r="AI178" s="555" t="s">
        <v>513</v>
      </c>
    </row>
    <row r="179" spans="1:35" ht="30" x14ac:dyDescent="0.25">
      <c r="A179" s="993" t="s">
        <v>1192</v>
      </c>
      <c r="B179" s="945" t="s">
        <v>494</v>
      </c>
      <c r="C179" s="454">
        <v>2020</v>
      </c>
      <c r="D179" s="1630" t="s">
        <v>1220</v>
      </c>
      <c r="E179" s="454" t="s">
        <v>900</v>
      </c>
      <c r="F179" s="576" t="s">
        <v>62</v>
      </c>
      <c r="G179" s="1631" t="s">
        <v>1193</v>
      </c>
      <c r="H179" s="551">
        <v>893</v>
      </c>
      <c r="I179" s="577">
        <v>0</v>
      </c>
      <c r="J179" s="551">
        <v>0</v>
      </c>
      <c r="K179" s="1901">
        <v>0</v>
      </c>
      <c r="L179" s="1553">
        <v>0</v>
      </c>
      <c r="M179" s="1552">
        <v>0</v>
      </c>
      <c r="N179" s="919">
        <v>0</v>
      </c>
      <c r="O179" s="1096">
        <v>0</v>
      </c>
      <c r="P179" s="920">
        <v>0</v>
      </c>
      <c r="Q179" s="920">
        <v>0</v>
      </c>
      <c r="R179" s="1449">
        <v>893</v>
      </c>
      <c r="S179" s="1450">
        <f t="shared" si="12"/>
        <v>-893</v>
      </c>
      <c r="T179" s="1449">
        <f t="shared" si="13"/>
        <v>0</v>
      </c>
      <c r="U179" s="919">
        <v>0</v>
      </c>
      <c r="V179" s="920">
        <v>0</v>
      </c>
      <c r="W179" s="920">
        <v>0</v>
      </c>
      <c r="X179" s="1632">
        <v>0</v>
      </c>
      <c r="Y179" s="578">
        <v>0</v>
      </c>
      <c r="Z179" s="547">
        <v>893</v>
      </c>
      <c r="AA179" s="556">
        <v>0</v>
      </c>
      <c r="AB179" s="920">
        <v>0</v>
      </c>
      <c r="AC179" s="547">
        <v>0</v>
      </c>
      <c r="AD179" s="1468">
        <v>0</v>
      </c>
      <c r="AE179" s="574" t="s">
        <v>1364</v>
      </c>
      <c r="AF179" s="454" t="s">
        <v>13</v>
      </c>
      <c r="AG179" s="1131" t="s">
        <v>1010</v>
      </c>
      <c r="AH179" s="1633" t="s">
        <v>513</v>
      </c>
      <c r="AI179" s="555" t="s">
        <v>513</v>
      </c>
    </row>
    <row r="180" spans="1:35" ht="30" x14ac:dyDescent="0.25">
      <c r="A180" s="993" t="s">
        <v>1194</v>
      </c>
      <c r="B180" s="945" t="s">
        <v>494</v>
      </c>
      <c r="C180" s="454">
        <v>2020</v>
      </c>
      <c r="D180" s="1630" t="s">
        <v>1220</v>
      </c>
      <c r="E180" s="454" t="s">
        <v>900</v>
      </c>
      <c r="F180" s="576" t="s">
        <v>62</v>
      </c>
      <c r="G180" s="1631" t="s">
        <v>1195</v>
      </c>
      <c r="H180" s="551">
        <v>841</v>
      </c>
      <c r="I180" s="577">
        <v>0</v>
      </c>
      <c r="J180" s="551">
        <v>0</v>
      </c>
      <c r="K180" s="1901">
        <v>0</v>
      </c>
      <c r="L180" s="1553">
        <v>0</v>
      </c>
      <c r="M180" s="1552">
        <v>0</v>
      </c>
      <c r="N180" s="919">
        <v>0</v>
      </c>
      <c r="O180" s="1096">
        <v>0</v>
      </c>
      <c r="P180" s="920">
        <v>0</v>
      </c>
      <c r="Q180" s="920">
        <v>0</v>
      </c>
      <c r="R180" s="1449">
        <v>841</v>
      </c>
      <c r="S180" s="1450">
        <f t="shared" si="12"/>
        <v>-841</v>
      </c>
      <c r="T180" s="1449">
        <f t="shared" si="13"/>
        <v>0</v>
      </c>
      <c r="U180" s="919">
        <v>0</v>
      </c>
      <c r="V180" s="920">
        <v>0</v>
      </c>
      <c r="W180" s="920">
        <v>0</v>
      </c>
      <c r="X180" s="1632">
        <v>0</v>
      </c>
      <c r="Y180" s="578">
        <v>0</v>
      </c>
      <c r="Z180" s="547">
        <v>841</v>
      </c>
      <c r="AA180" s="556">
        <v>0</v>
      </c>
      <c r="AB180" s="920">
        <v>0</v>
      </c>
      <c r="AC180" s="547">
        <v>0</v>
      </c>
      <c r="AD180" s="1468">
        <v>0</v>
      </c>
      <c r="AE180" s="574" t="s">
        <v>1365</v>
      </c>
      <c r="AF180" s="454" t="s">
        <v>43</v>
      </c>
      <c r="AG180" s="1131" t="s">
        <v>1010</v>
      </c>
      <c r="AH180" s="1633" t="s">
        <v>514</v>
      </c>
      <c r="AI180" s="555" t="s">
        <v>513</v>
      </c>
    </row>
    <row r="181" spans="1:35" ht="30" x14ac:dyDescent="0.25">
      <c r="A181" s="993" t="s">
        <v>1196</v>
      </c>
      <c r="B181" s="945" t="s">
        <v>494</v>
      </c>
      <c r="C181" s="454">
        <v>2020</v>
      </c>
      <c r="D181" s="1630" t="s">
        <v>1220</v>
      </c>
      <c r="E181" s="454" t="s">
        <v>900</v>
      </c>
      <c r="F181" s="576" t="s">
        <v>62</v>
      </c>
      <c r="G181" s="1631" t="s">
        <v>1197</v>
      </c>
      <c r="H181" s="551">
        <v>3265</v>
      </c>
      <c r="I181" s="577">
        <v>0</v>
      </c>
      <c r="J181" s="551">
        <v>0</v>
      </c>
      <c r="K181" s="1901">
        <v>0</v>
      </c>
      <c r="L181" s="1553">
        <v>0</v>
      </c>
      <c r="M181" s="1552">
        <v>0</v>
      </c>
      <c r="N181" s="919">
        <v>0</v>
      </c>
      <c r="O181" s="1096">
        <v>0</v>
      </c>
      <c r="P181" s="920">
        <v>0</v>
      </c>
      <c r="Q181" s="920">
        <v>0</v>
      </c>
      <c r="R181" s="1449">
        <v>3265</v>
      </c>
      <c r="S181" s="1450">
        <f t="shared" si="12"/>
        <v>-3265</v>
      </c>
      <c r="T181" s="1449">
        <f t="shared" si="13"/>
        <v>0</v>
      </c>
      <c r="U181" s="919">
        <v>0</v>
      </c>
      <c r="V181" s="920">
        <v>0</v>
      </c>
      <c r="W181" s="920">
        <v>0</v>
      </c>
      <c r="X181" s="1632">
        <v>0</v>
      </c>
      <c r="Y181" s="578">
        <v>0</v>
      </c>
      <c r="Z181" s="547">
        <v>3265</v>
      </c>
      <c r="AA181" s="556">
        <v>0</v>
      </c>
      <c r="AB181" s="920">
        <v>0</v>
      </c>
      <c r="AC181" s="547">
        <v>0</v>
      </c>
      <c r="AD181" s="1468">
        <v>0</v>
      </c>
      <c r="AE181" s="574" t="s">
        <v>1366</v>
      </c>
      <c r="AF181" s="454" t="s">
        <v>13</v>
      </c>
      <c r="AG181" s="1131" t="s">
        <v>1010</v>
      </c>
      <c r="AH181" s="1633" t="s">
        <v>513</v>
      </c>
      <c r="AI181" s="555" t="s">
        <v>513</v>
      </c>
    </row>
    <row r="182" spans="1:35" ht="30" x14ac:dyDescent="0.25">
      <c r="A182" s="993" t="s">
        <v>1198</v>
      </c>
      <c r="B182" s="945" t="s">
        <v>494</v>
      </c>
      <c r="C182" s="454">
        <v>2020</v>
      </c>
      <c r="D182" s="1630" t="s">
        <v>1220</v>
      </c>
      <c r="E182" s="454" t="s">
        <v>900</v>
      </c>
      <c r="F182" s="576" t="s">
        <v>62</v>
      </c>
      <c r="G182" s="1631" t="s">
        <v>1199</v>
      </c>
      <c r="H182" s="551">
        <v>3427</v>
      </c>
      <c r="I182" s="577">
        <v>0</v>
      </c>
      <c r="J182" s="551">
        <v>0</v>
      </c>
      <c r="K182" s="1901">
        <v>0</v>
      </c>
      <c r="L182" s="1553">
        <v>0</v>
      </c>
      <c r="M182" s="1552">
        <v>0</v>
      </c>
      <c r="N182" s="919">
        <v>0</v>
      </c>
      <c r="O182" s="1096">
        <v>0</v>
      </c>
      <c r="P182" s="920">
        <v>0</v>
      </c>
      <c r="Q182" s="920">
        <v>0</v>
      </c>
      <c r="R182" s="1449">
        <v>3427</v>
      </c>
      <c r="S182" s="1450">
        <f t="shared" si="12"/>
        <v>-3427</v>
      </c>
      <c r="T182" s="1449">
        <f t="shared" si="13"/>
        <v>0</v>
      </c>
      <c r="U182" s="919">
        <v>0</v>
      </c>
      <c r="V182" s="920">
        <v>0</v>
      </c>
      <c r="W182" s="920">
        <v>0</v>
      </c>
      <c r="X182" s="1632">
        <v>0</v>
      </c>
      <c r="Y182" s="578">
        <v>0</v>
      </c>
      <c r="Z182" s="547">
        <v>3427</v>
      </c>
      <c r="AA182" s="556">
        <v>0</v>
      </c>
      <c r="AB182" s="920">
        <v>0</v>
      </c>
      <c r="AC182" s="547">
        <v>0</v>
      </c>
      <c r="AD182" s="1468">
        <v>0</v>
      </c>
      <c r="AE182" s="574" t="s">
        <v>1367</v>
      </c>
      <c r="AF182" s="454" t="s">
        <v>13</v>
      </c>
      <c r="AG182" s="1131" t="s">
        <v>1010</v>
      </c>
      <c r="AH182" s="1633" t="s">
        <v>513</v>
      </c>
      <c r="AI182" s="555" t="s">
        <v>513</v>
      </c>
    </row>
    <row r="183" spans="1:35" ht="30" x14ac:dyDescent="0.25">
      <c r="A183" s="993" t="s">
        <v>1200</v>
      </c>
      <c r="B183" s="945" t="s">
        <v>494</v>
      </c>
      <c r="C183" s="454">
        <v>2020</v>
      </c>
      <c r="D183" s="1630" t="s">
        <v>1220</v>
      </c>
      <c r="E183" s="454" t="s">
        <v>900</v>
      </c>
      <c r="F183" s="576" t="s">
        <v>62</v>
      </c>
      <c r="G183" s="1631" t="s">
        <v>1201</v>
      </c>
      <c r="H183" s="551">
        <v>3471</v>
      </c>
      <c r="I183" s="577">
        <v>0</v>
      </c>
      <c r="J183" s="551">
        <v>0</v>
      </c>
      <c r="K183" s="1901">
        <v>0</v>
      </c>
      <c r="L183" s="1553">
        <v>0</v>
      </c>
      <c r="M183" s="1552">
        <v>0</v>
      </c>
      <c r="N183" s="919">
        <v>0</v>
      </c>
      <c r="O183" s="1096">
        <v>0</v>
      </c>
      <c r="P183" s="920">
        <v>0</v>
      </c>
      <c r="Q183" s="920">
        <v>0</v>
      </c>
      <c r="R183" s="1449">
        <v>3471</v>
      </c>
      <c r="S183" s="1450">
        <f t="shared" si="12"/>
        <v>-3471</v>
      </c>
      <c r="T183" s="1449">
        <f t="shared" si="13"/>
        <v>0</v>
      </c>
      <c r="U183" s="919">
        <v>0</v>
      </c>
      <c r="V183" s="920">
        <v>0</v>
      </c>
      <c r="W183" s="920">
        <v>0</v>
      </c>
      <c r="X183" s="1632">
        <v>0</v>
      </c>
      <c r="Y183" s="578">
        <v>0</v>
      </c>
      <c r="Z183" s="547">
        <v>3471</v>
      </c>
      <c r="AA183" s="556">
        <v>0</v>
      </c>
      <c r="AB183" s="920">
        <v>0</v>
      </c>
      <c r="AC183" s="547">
        <v>0</v>
      </c>
      <c r="AD183" s="1468">
        <v>0</v>
      </c>
      <c r="AE183" s="574" t="s">
        <v>1368</v>
      </c>
      <c r="AF183" s="454" t="s">
        <v>13</v>
      </c>
      <c r="AG183" s="1131" t="s">
        <v>1010</v>
      </c>
      <c r="AH183" s="1633" t="s">
        <v>513</v>
      </c>
      <c r="AI183" s="555" t="s">
        <v>513</v>
      </c>
    </row>
    <row r="184" spans="1:35" ht="30" x14ac:dyDescent="0.25">
      <c r="A184" s="993" t="s">
        <v>1202</v>
      </c>
      <c r="B184" s="945" t="s">
        <v>494</v>
      </c>
      <c r="C184" s="454">
        <v>2020</v>
      </c>
      <c r="D184" s="1630" t="s">
        <v>1220</v>
      </c>
      <c r="E184" s="454" t="s">
        <v>900</v>
      </c>
      <c r="F184" s="576" t="s">
        <v>62</v>
      </c>
      <c r="G184" s="1631" t="s">
        <v>1203</v>
      </c>
      <c r="H184" s="551">
        <v>1378</v>
      </c>
      <c r="I184" s="577">
        <v>0</v>
      </c>
      <c r="J184" s="551">
        <v>0</v>
      </c>
      <c r="K184" s="1901">
        <v>0</v>
      </c>
      <c r="L184" s="1553">
        <v>0</v>
      </c>
      <c r="M184" s="1552">
        <v>0</v>
      </c>
      <c r="N184" s="919">
        <v>0</v>
      </c>
      <c r="O184" s="1096">
        <v>0</v>
      </c>
      <c r="P184" s="920">
        <v>0</v>
      </c>
      <c r="Q184" s="920">
        <v>0</v>
      </c>
      <c r="R184" s="1449">
        <v>1378</v>
      </c>
      <c r="S184" s="1450">
        <f t="shared" si="12"/>
        <v>-1378</v>
      </c>
      <c r="T184" s="1449">
        <f t="shared" si="13"/>
        <v>0</v>
      </c>
      <c r="U184" s="919">
        <v>0</v>
      </c>
      <c r="V184" s="920">
        <v>0</v>
      </c>
      <c r="W184" s="920">
        <v>0</v>
      </c>
      <c r="X184" s="1632">
        <v>0</v>
      </c>
      <c r="Y184" s="578">
        <v>0</v>
      </c>
      <c r="Z184" s="547">
        <v>1378</v>
      </c>
      <c r="AA184" s="556">
        <v>0</v>
      </c>
      <c r="AB184" s="920">
        <v>0</v>
      </c>
      <c r="AC184" s="547">
        <v>0</v>
      </c>
      <c r="AD184" s="1468">
        <v>0</v>
      </c>
      <c r="AE184" s="574" t="s">
        <v>1369</v>
      </c>
      <c r="AF184" s="454" t="s">
        <v>13</v>
      </c>
      <c r="AG184" s="1131" t="s">
        <v>1010</v>
      </c>
      <c r="AH184" s="1633" t="s">
        <v>513</v>
      </c>
      <c r="AI184" s="555" t="s">
        <v>513</v>
      </c>
    </row>
    <row r="185" spans="1:35" ht="30" x14ac:dyDescent="0.25">
      <c r="A185" s="993" t="s">
        <v>1214</v>
      </c>
      <c r="B185" s="945" t="s">
        <v>494</v>
      </c>
      <c r="C185" s="454">
        <v>2020</v>
      </c>
      <c r="D185" s="1630" t="s">
        <v>1220</v>
      </c>
      <c r="E185" s="454" t="s">
        <v>900</v>
      </c>
      <c r="F185" s="576" t="s">
        <v>62</v>
      </c>
      <c r="G185" s="1631" t="s">
        <v>1204</v>
      </c>
      <c r="H185" s="551">
        <v>4384</v>
      </c>
      <c r="I185" s="577">
        <v>0</v>
      </c>
      <c r="J185" s="551">
        <v>0</v>
      </c>
      <c r="K185" s="1901">
        <v>0</v>
      </c>
      <c r="L185" s="1553">
        <v>0</v>
      </c>
      <c r="M185" s="1552">
        <v>0</v>
      </c>
      <c r="N185" s="919">
        <v>0</v>
      </c>
      <c r="O185" s="1096">
        <v>0</v>
      </c>
      <c r="P185" s="920">
        <v>0</v>
      </c>
      <c r="Q185" s="920">
        <v>0</v>
      </c>
      <c r="R185" s="1449">
        <v>4384</v>
      </c>
      <c r="S185" s="1450">
        <f t="shared" si="12"/>
        <v>-4384</v>
      </c>
      <c r="T185" s="1449">
        <f t="shared" si="13"/>
        <v>0</v>
      </c>
      <c r="U185" s="919">
        <v>0</v>
      </c>
      <c r="V185" s="920">
        <v>0</v>
      </c>
      <c r="W185" s="920">
        <v>0</v>
      </c>
      <c r="X185" s="1632">
        <v>0</v>
      </c>
      <c r="Y185" s="578">
        <v>0</v>
      </c>
      <c r="Z185" s="547">
        <v>4384</v>
      </c>
      <c r="AA185" s="556">
        <v>0</v>
      </c>
      <c r="AB185" s="920">
        <v>0</v>
      </c>
      <c r="AC185" s="547">
        <v>0</v>
      </c>
      <c r="AD185" s="1468">
        <v>0</v>
      </c>
      <c r="AE185" s="574" t="s">
        <v>1370</v>
      </c>
      <c r="AF185" s="454" t="s">
        <v>13</v>
      </c>
      <c r="AG185" s="1131" t="s">
        <v>1010</v>
      </c>
      <c r="AH185" s="1633" t="s">
        <v>513</v>
      </c>
      <c r="AI185" s="555" t="s">
        <v>513</v>
      </c>
    </row>
    <row r="186" spans="1:35" s="396" customFormat="1" ht="30.75" thickBot="1" x14ac:dyDescent="0.3">
      <c r="A186" s="1012" t="s">
        <v>1215</v>
      </c>
      <c r="B186" s="949" t="s">
        <v>494</v>
      </c>
      <c r="C186" s="582">
        <v>2020</v>
      </c>
      <c r="D186" s="1634" t="s">
        <v>1220</v>
      </c>
      <c r="E186" s="582" t="s">
        <v>900</v>
      </c>
      <c r="F186" s="1097" t="s">
        <v>62</v>
      </c>
      <c r="G186" s="1635" t="s">
        <v>1205</v>
      </c>
      <c r="H186" s="583">
        <v>2032</v>
      </c>
      <c r="I186" s="638">
        <v>0</v>
      </c>
      <c r="J186" s="583">
        <v>0</v>
      </c>
      <c r="K186" s="1459">
        <v>0</v>
      </c>
      <c r="L186" s="1459">
        <v>0</v>
      </c>
      <c r="M186" s="1458">
        <v>0</v>
      </c>
      <c r="N186" s="955">
        <v>0</v>
      </c>
      <c r="O186" s="1099">
        <v>0</v>
      </c>
      <c r="P186" s="956">
        <v>0</v>
      </c>
      <c r="Q186" s="956">
        <v>0</v>
      </c>
      <c r="R186" s="1460">
        <v>2032</v>
      </c>
      <c r="S186" s="1461">
        <f>-R186</f>
        <v>-2032</v>
      </c>
      <c r="T186" s="1460">
        <f t="shared" si="13"/>
        <v>0</v>
      </c>
      <c r="U186" s="955">
        <v>0</v>
      </c>
      <c r="V186" s="956">
        <v>0</v>
      </c>
      <c r="W186" s="956">
        <v>0</v>
      </c>
      <c r="X186" s="1636">
        <v>0</v>
      </c>
      <c r="Y186" s="585">
        <v>0</v>
      </c>
      <c r="Z186" s="1038">
        <v>2032</v>
      </c>
      <c r="AA186" s="629">
        <v>0</v>
      </c>
      <c r="AB186" s="956">
        <v>0</v>
      </c>
      <c r="AC186" s="1038">
        <v>0</v>
      </c>
      <c r="AD186" s="1824">
        <v>0</v>
      </c>
      <c r="AE186" s="1473" t="s">
        <v>1371</v>
      </c>
      <c r="AF186" s="582" t="s">
        <v>13</v>
      </c>
      <c r="AG186" s="1190" t="s">
        <v>1010</v>
      </c>
      <c r="AH186" s="1637" t="s">
        <v>513</v>
      </c>
      <c r="AI186" s="1016" t="s">
        <v>513</v>
      </c>
    </row>
    <row r="187" spans="1:35" ht="30" x14ac:dyDescent="0.25">
      <c r="A187" s="896" t="s">
        <v>1372</v>
      </c>
      <c r="B187" s="1709" t="s">
        <v>494</v>
      </c>
      <c r="C187" s="421">
        <v>2020</v>
      </c>
      <c r="D187" s="1710" t="s">
        <v>484</v>
      </c>
      <c r="E187" s="421" t="s">
        <v>62</v>
      </c>
      <c r="F187" s="891" t="s">
        <v>62</v>
      </c>
      <c r="G187" s="1711" t="s">
        <v>1373</v>
      </c>
      <c r="H187" s="1712">
        <v>769</v>
      </c>
      <c r="I187" s="476">
        <v>0</v>
      </c>
      <c r="J187" s="420">
        <v>0</v>
      </c>
      <c r="K187" s="420">
        <v>0</v>
      </c>
      <c r="L187" s="420">
        <v>0</v>
      </c>
      <c r="M187" s="1324">
        <v>0</v>
      </c>
      <c r="N187" s="893">
        <v>0</v>
      </c>
      <c r="O187" s="1713">
        <v>0</v>
      </c>
      <c r="P187" s="892">
        <v>0</v>
      </c>
      <c r="Q187" s="1714">
        <v>0</v>
      </c>
      <c r="R187" s="1909">
        <v>0</v>
      </c>
      <c r="S187" s="1910">
        <v>0</v>
      </c>
      <c r="T187" s="1909">
        <f t="shared" si="13"/>
        <v>0</v>
      </c>
      <c r="U187" s="893">
        <v>0</v>
      </c>
      <c r="V187" s="892">
        <v>0</v>
      </c>
      <c r="W187" s="892">
        <v>769</v>
      </c>
      <c r="X187" s="1714">
        <v>0</v>
      </c>
      <c r="Y187" s="517">
        <v>769</v>
      </c>
      <c r="Z187" s="518">
        <v>0</v>
      </c>
      <c r="AA187" s="1715">
        <v>0</v>
      </c>
      <c r="AB187" s="892">
        <v>0</v>
      </c>
      <c r="AC187" s="518">
        <v>0</v>
      </c>
      <c r="AD187" s="1909">
        <v>0</v>
      </c>
      <c r="AE187" s="288" t="s">
        <v>484</v>
      </c>
      <c r="AF187" s="421" t="s">
        <v>19</v>
      </c>
      <c r="AG187" s="1716" t="s">
        <v>1007</v>
      </c>
      <c r="AH187" s="1717" t="s">
        <v>513</v>
      </c>
      <c r="AI187" s="894" t="s">
        <v>513</v>
      </c>
    </row>
    <row r="188" spans="1:35" ht="45.75" thickBot="1" x14ac:dyDescent="0.3">
      <c r="A188" s="974" t="s">
        <v>1414</v>
      </c>
      <c r="B188" s="1153" t="s">
        <v>494</v>
      </c>
      <c r="C188" s="358">
        <v>2020</v>
      </c>
      <c r="D188" s="1638" t="s">
        <v>484</v>
      </c>
      <c r="E188" s="358" t="s">
        <v>62</v>
      </c>
      <c r="F188" s="895" t="s">
        <v>62</v>
      </c>
      <c r="G188" s="1639" t="s">
        <v>1374</v>
      </c>
      <c r="H188" s="1640">
        <v>80310</v>
      </c>
      <c r="I188" s="379">
        <v>0</v>
      </c>
      <c r="J188" s="378">
        <v>0</v>
      </c>
      <c r="K188" s="378">
        <v>0</v>
      </c>
      <c r="L188" s="378">
        <v>0</v>
      </c>
      <c r="M188" s="1329">
        <v>0</v>
      </c>
      <c r="N188" s="1138">
        <v>0</v>
      </c>
      <c r="O188" s="1079">
        <v>0</v>
      </c>
      <c r="P188" s="1137">
        <v>0</v>
      </c>
      <c r="Q188" s="1140">
        <v>0</v>
      </c>
      <c r="R188" s="1331">
        <v>0</v>
      </c>
      <c r="S188" s="1332">
        <v>0</v>
      </c>
      <c r="T188" s="1331">
        <f t="shared" si="13"/>
        <v>0</v>
      </c>
      <c r="U188" s="1641">
        <v>2771</v>
      </c>
      <c r="V188" s="1642">
        <v>303</v>
      </c>
      <c r="W188" s="1642">
        <v>302</v>
      </c>
      <c r="X188" s="1643">
        <v>1355</v>
      </c>
      <c r="Y188" s="1645">
        <v>4731</v>
      </c>
      <c r="Z188" s="1644">
        <v>75579</v>
      </c>
      <c r="AA188" s="1139">
        <v>0</v>
      </c>
      <c r="AB188" s="1137">
        <v>0</v>
      </c>
      <c r="AC188" s="519">
        <v>0</v>
      </c>
      <c r="AD188" s="1331">
        <v>0</v>
      </c>
      <c r="AE188" s="1881" t="s">
        <v>484</v>
      </c>
      <c r="AF188" s="358" t="s">
        <v>19</v>
      </c>
      <c r="AG188" s="1333" t="s">
        <v>1375</v>
      </c>
      <c r="AH188" s="1213" t="s">
        <v>513</v>
      </c>
      <c r="AI188" s="796" t="s">
        <v>513</v>
      </c>
    </row>
    <row r="189" spans="1:35" s="756" customFormat="1" ht="15.75" thickBot="1" x14ac:dyDescent="0.3">
      <c r="A189" s="750" t="s">
        <v>544</v>
      </c>
      <c r="B189" s="751" t="s">
        <v>544</v>
      </c>
      <c r="C189" s="54" t="s">
        <v>544</v>
      </c>
      <c r="D189" s="54" t="s">
        <v>544</v>
      </c>
      <c r="E189" s="89" t="s">
        <v>544</v>
      </c>
      <c r="F189" s="89" t="s">
        <v>544</v>
      </c>
      <c r="G189" s="475" t="s">
        <v>544</v>
      </c>
      <c r="H189" s="858" t="s">
        <v>544</v>
      </c>
      <c r="I189" s="858" t="s">
        <v>544</v>
      </c>
      <c r="J189" s="858" t="s">
        <v>544</v>
      </c>
      <c r="K189" s="874" t="s">
        <v>544</v>
      </c>
      <c r="L189" s="858" t="s">
        <v>544</v>
      </c>
      <c r="M189" s="874" t="s">
        <v>544</v>
      </c>
      <c r="N189" s="858" t="s">
        <v>544</v>
      </c>
      <c r="O189" s="408" t="s">
        <v>544</v>
      </c>
      <c r="P189" s="858" t="s">
        <v>544</v>
      </c>
      <c r="Q189" s="859" t="s">
        <v>544</v>
      </c>
      <c r="R189" s="1156" t="s">
        <v>544</v>
      </c>
      <c r="S189" s="884" t="s">
        <v>544</v>
      </c>
      <c r="T189" s="1156" t="s">
        <v>544</v>
      </c>
      <c r="U189" s="1157" t="s">
        <v>544</v>
      </c>
      <c r="V189" s="861" t="s">
        <v>544</v>
      </c>
      <c r="W189" s="861" t="s">
        <v>544</v>
      </c>
      <c r="X189" s="791" t="s">
        <v>544</v>
      </c>
      <c r="Y189" s="791" t="s">
        <v>544</v>
      </c>
      <c r="Z189" s="431" t="s">
        <v>544</v>
      </c>
      <c r="AA189" s="1181" t="s">
        <v>544</v>
      </c>
      <c r="AB189" s="861" t="s">
        <v>544</v>
      </c>
      <c r="AC189" s="859" t="s">
        <v>544</v>
      </c>
      <c r="AD189" s="431" t="s">
        <v>544</v>
      </c>
      <c r="AE189" s="791" t="s">
        <v>544</v>
      </c>
      <c r="AF189" s="54" t="s">
        <v>544</v>
      </c>
      <c r="AG189" s="195" t="s">
        <v>544</v>
      </c>
      <c r="AH189" s="195" t="s">
        <v>544</v>
      </c>
      <c r="AI189" s="186" t="s">
        <v>544</v>
      </c>
    </row>
    <row r="190" spans="1:35" ht="41.25" customHeight="1" thickBot="1" x14ac:dyDescent="0.3">
      <c r="A190" s="705" t="s">
        <v>484</v>
      </c>
      <c r="B190" s="706" t="s">
        <v>484</v>
      </c>
      <c r="C190" s="139" t="s">
        <v>484</v>
      </c>
      <c r="D190" s="112" t="s">
        <v>484</v>
      </c>
      <c r="E190" s="139" t="s">
        <v>484</v>
      </c>
      <c r="F190" s="139" t="s">
        <v>484</v>
      </c>
      <c r="G190" s="789" t="s">
        <v>560</v>
      </c>
      <c r="H190" s="96">
        <f t="shared" ref="H190:Q190" si="14">SUM(H48:H189)</f>
        <v>3013824.7088599997</v>
      </c>
      <c r="I190" s="96">
        <f t="shared" si="14"/>
        <v>670097.98953000002</v>
      </c>
      <c r="J190" s="96">
        <f t="shared" si="14"/>
        <v>67181.449779999995</v>
      </c>
      <c r="K190" s="827">
        <f t="shared" si="14"/>
        <v>43161.363279999998</v>
      </c>
      <c r="L190" s="827">
        <f t="shared" si="14"/>
        <v>95315.578150000045</v>
      </c>
      <c r="M190" s="827">
        <f t="shared" si="14"/>
        <v>3195.9124999999999</v>
      </c>
      <c r="N190" s="96">
        <f t="shared" si="14"/>
        <v>36412.933970000006</v>
      </c>
      <c r="O190" s="827">
        <f t="shared" si="14"/>
        <v>30768.822579999993</v>
      </c>
      <c r="P190" s="96">
        <f t="shared" si="14"/>
        <v>43161.363279999998</v>
      </c>
      <c r="Q190" s="293">
        <f t="shared" si="14"/>
        <v>166765.22224000003</v>
      </c>
      <c r="R190" s="1272">
        <v>730748.10383999976</v>
      </c>
      <c r="S190" s="1273">
        <f t="shared" ref="S190:AD190" si="15">SUM(S48:S189)</f>
        <v>-453639.76176999998</v>
      </c>
      <c r="T190" s="1272">
        <f t="shared" si="15"/>
        <v>277108.34207000007</v>
      </c>
      <c r="U190" s="854">
        <f t="shared" si="15"/>
        <v>170280.18184</v>
      </c>
      <c r="V190" s="855">
        <f t="shared" si="15"/>
        <v>158122</v>
      </c>
      <c r="W190" s="855">
        <f t="shared" si="15"/>
        <v>288304.76462000003</v>
      </c>
      <c r="X190" s="684">
        <f t="shared" si="15"/>
        <v>126155.22031</v>
      </c>
      <c r="Y190" s="293">
        <f t="shared" si="15"/>
        <v>742862.16677000001</v>
      </c>
      <c r="Z190" s="293">
        <f t="shared" si="15"/>
        <v>1261386.21049</v>
      </c>
      <c r="AA190" s="293">
        <f t="shared" si="15"/>
        <v>43860</v>
      </c>
      <c r="AB190" s="855">
        <f t="shared" si="15"/>
        <v>18510</v>
      </c>
      <c r="AC190" s="684">
        <f t="shared" si="15"/>
        <v>0</v>
      </c>
      <c r="AD190" s="827">
        <f t="shared" si="15"/>
        <v>45396</v>
      </c>
      <c r="AE190" s="120" t="s">
        <v>1489</v>
      </c>
      <c r="AF190" s="97" t="s">
        <v>484</v>
      </c>
      <c r="AG190" s="513" t="s">
        <v>484</v>
      </c>
      <c r="AH190" s="254" t="s">
        <v>484</v>
      </c>
      <c r="AI190" s="102" t="s">
        <v>484</v>
      </c>
    </row>
    <row r="191" spans="1:35" s="391" customFormat="1" ht="30" x14ac:dyDescent="0.25">
      <c r="A191" s="59" t="s">
        <v>643</v>
      </c>
      <c r="B191" s="92" t="s">
        <v>107</v>
      </c>
      <c r="C191" s="10">
        <v>2016</v>
      </c>
      <c r="D191" s="4" t="s">
        <v>628</v>
      </c>
      <c r="E191" s="60" t="s">
        <v>11</v>
      </c>
      <c r="F191" s="88" t="s">
        <v>108</v>
      </c>
      <c r="G191" s="423" t="s">
        <v>109</v>
      </c>
      <c r="H191" s="6">
        <v>17735.187600000001</v>
      </c>
      <c r="I191" s="6">
        <v>17014.405350000001</v>
      </c>
      <c r="J191" s="6">
        <v>0</v>
      </c>
      <c r="K191" s="412">
        <v>0</v>
      </c>
      <c r="L191" s="1248">
        <v>0</v>
      </c>
      <c r="M191" s="1248">
        <v>0</v>
      </c>
      <c r="N191" s="849">
        <v>0</v>
      </c>
      <c r="O191" s="838">
        <v>0</v>
      </c>
      <c r="P191" s="792">
        <v>0</v>
      </c>
      <c r="Q191" s="838">
        <v>0</v>
      </c>
      <c r="R191" s="1263">
        <v>0</v>
      </c>
      <c r="S191" s="1262">
        <v>0</v>
      </c>
      <c r="T191" s="1263">
        <f t="shared" ref="T191:T254" si="16">R191+S191</f>
        <v>0</v>
      </c>
      <c r="U191" s="849">
        <v>0</v>
      </c>
      <c r="V191" s="347">
        <v>0</v>
      </c>
      <c r="W191" s="347">
        <v>0</v>
      </c>
      <c r="X191" s="2">
        <v>0</v>
      </c>
      <c r="Y191" s="2">
        <v>0</v>
      </c>
      <c r="Z191" s="2">
        <v>720.78224999999998</v>
      </c>
      <c r="AA191" s="51">
        <v>0</v>
      </c>
      <c r="AB191" s="267">
        <v>0</v>
      </c>
      <c r="AC191" s="99">
        <v>0</v>
      </c>
      <c r="AD191" s="1231">
        <v>0</v>
      </c>
      <c r="AE191" s="119" t="s">
        <v>991</v>
      </c>
      <c r="AF191" s="4" t="s">
        <v>1171</v>
      </c>
      <c r="AG191" s="192" t="s">
        <v>965</v>
      </c>
      <c r="AH191" s="192" t="s">
        <v>514</v>
      </c>
      <c r="AI191" s="106" t="s">
        <v>514</v>
      </c>
    </row>
    <row r="192" spans="1:35" s="354" customFormat="1" ht="43.5" x14ac:dyDescent="0.25">
      <c r="A192" s="1050" t="s">
        <v>644</v>
      </c>
      <c r="B192" s="1180" t="s">
        <v>110</v>
      </c>
      <c r="C192" s="1130">
        <v>2016</v>
      </c>
      <c r="D192" s="1130" t="s">
        <v>627</v>
      </c>
      <c r="E192" s="1179" t="s">
        <v>11</v>
      </c>
      <c r="F192" s="1652" t="s">
        <v>111</v>
      </c>
      <c r="G192" s="1653" t="s">
        <v>112</v>
      </c>
      <c r="H192" s="552">
        <f>104982.385+3149.47155+1989.802</f>
        <v>110121.65854999999</v>
      </c>
      <c r="I192" s="552">
        <v>1989.8019999999999</v>
      </c>
      <c r="J192" s="552">
        <v>48.4</v>
      </c>
      <c r="K192" s="1553">
        <v>0</v>
      </c>
      <c r="L192" s="1539">
        <v>0</v>
      </c>
      <c r="M192" s="1539">
        <v>0</v>
      </c>
      <c r="N192" s="1091">
        <f>268.378-268.378</f>
        <v>0</v>
      </c>
      <c r="O192" s="1089">
        <v>48.4</v>
      </c>
      <c r="P192" s="1090">
        <v>0</v>
      </c>
      <c r="Q192" s="1089">
        <v>0</v>
      </c>
      <c r="R192" s="1449">
        <v>0</v>
      </c>
      <c r="S192" s="1450">
        <v>48.4</v>
      </c>
      <c r="T192" s="1449">
        <f t="shared" si="16"/>
        <v>48.4</v>
      </c>
      <c r="U192" s="1091">
        <v>0</v>
      </c>
      <c r="V192" s="1090">
        <v>0</v>
      </c>
      <c r="W192" s="1090">
        <v>27032.964137499999</v>
      </c>
      <c r="X192" s="1002">
        <v>27032.964137499999</v>
      </c>
      <c r="Y192" s="1002">
        <v>54065.928274999998</v>
      </c>
      <c r="Z192" s="1094">
        <f>54065.928275-48.4</f>
        <v>54017.528274999997</v>
      </c>
      <c r="AA192" s="554">
        <v>0</v>
      </c>
      <c r="AB192" s="1090">
        <v>0</v>
      </c>
      <c r="AC192" s="1089">
        <v>0</v>
      </c>
      <c r="AD192" s="1894">
        <v>105000</v>
      </c>
      <c r="AE192" s="1182" t="s">
        <v>1377</v>
      </c>
      <c r="AF192" s="1130" t="s">
        <v>19</v>
      </c>
      <c r="AG192" s="1654" t="s">
        <v>542</v>
      </c>
      <c r="AH192" s="1654" t="s">
        <v>513</v>
      </c>
      <c r="AI192" s="1655" t="s">
        <v>513</v>
      </c>
    </row>
    <row r="193" spans="1:35" s="354" customFormat="1" ht="30" x14ac:dyDescent="0.25">
      <c r="A193" s="62" t="s">
        <v>645</v>
      </c>
      <c r="B193" s="85" t="s">
        <v>113</v>
      </c>
      <c r="C193" s="5">
        <v>2017</v>
      </c>
      <c r="D193" s="5" t="s">
        <v>114</v>
      </c>
      <c r="E193" s="63" t="s">
        <v>11</v>
      </c>
      <c r="F193" s="64" t="s">
        <v>115</v>
      </c>
      <c r="G193" s="425" t="s">
        <v>116</v>
      </c>
      <c r="H193" s="16">
        <f>55140+716.42108</f>
        <v>55856.42108</v>
      </c>
      <c r="I193" s="16">
        <v>32471.348379999999</v>
      </c>
      <c r="J193" s="16">
        <v>10532.85219</v>
      </c>
      <c r="K193" s="412">
        <v>1979.36907</v>
      </c>
      <c r="L193" s="782">
        <f>1478.38103+30.28267</f>
        <v>1508.6637000000001</v>
      </c>
      <c r="M193" s="782">
        <v>3364.2992599999998</v>
      </c>
      <c r="N193" s="850">
        <f>4000-1909.10548</f>
        <v>2090.8945199999998</v>
      </c>
      <c r="O193" s="155">
        <f>8472.24034-30.28267</f>
        <v>8441.9576699999998</v>
      </c>
      <c r="P193" s="201">
        <v>1979.36907</v>
      </c>
      <c r="Q193" s="29">
        <v>10872.85144</v>
      </c>
      <c r="R193" s="1268">
        <v>23385.072700000001</v>
      </c>
      <c r="S193" s="1269">
        <v>0</v>
      </c>
      <c r="T193" s="1268">
        <f t="shared" si="16"/>
        <v>23385.072700000001</v>
      </c>
      <c r="U193" s="850">
        <v>0</v>
      </c>
      <c r="V193" s="201">
        <v>0</v>
      </c>
      <c r="W193" s="201">
        <v>0</v>
      </c>
      <c r="X193" s="17">
        <v>0</v>
      </c>
      <c r="Y193" s="17">
        <v>0</v>
      </c>
      <c r="Z193" s="18">
        <v>0</v>
      </c>
      <c r="AA193" s="33">
        <v>0</v>
      </c>
      <c r="AB193" s="201">
        <v>0</v>
      </c>
      <c r="AC193" s="29">
        <v>0</v>
      </c>
      <c r="AD193" s="2073">
        <v>0</v>
      </c>
      <c r="AE193" s="52" t="s">
        <v>484</v>
      </c>
      <c r="AF193" s="5" t="s">
        <v>43</v>
      </c>
      <c r="AG193" s="193" t="s">
        <v>732</v>
      </c>
      <c r="AH193" s="193" t="s">
        <v>514</v>
      </c>
      <c r="AI193" s="104" t="s">
        <v>514</v>
      </c>
    </row>
    <row r="194" spans="1:35" s="419" customFormat="1" ht="25.5" x14ac:dyDescent="0.25">
      <c r="A194" s="1017" t="s">
        <v>646</v>
      </c>
      <c r="B194" s="997" t="s">
        <v>117</v>
      </c>
      <c r="C194" s="353">
        <v>2017</v>
      </c>
      <c r="D194" s="353" t="s">
        <v>641</v>
      </c>
      <c r="E194" s="811" t="s">
        <v>11</v>
      </c>
      <c r="F194" s="998" t="s">
        <v>118</v>
      </c>
      <c r="G194" s="999" t="s">
        <v>119</v>
      </c>
      <c r="H194" s="376">
        <v>24585.773000000001</v>
      </c>
      <c r="I194" s="327">
        <v>585.77300000000002</v>
      </c>
      <c r="J194" s="464">
        <v>0</v>
      </c>
      <c r="K194" s="412">
        <v>0</v>
      </c>
      <c r="L194" s="1615">
        <v>0</v>
      </c>
      <c r="M194" s="1615">
        <v>0</v>
      </c>
      <c r="N194" s="1656">
        <v>0</v>
      </c>
      <c r="O194" s="625">
        <v>0</v>
      </c>
      <c r="P194" s="625">
        <v>0</v>
      </c>
      <c r="Q194" s="697">
        <v>0</v>
      </c>
      <c r="R194" s="1320">
        <v>0</v>
      </c>
      <c r="S194" s="1321">
        <v>0</v>
      </c>
      <c r="T194" s="1320">
        <f t="shared" si="16"/>
        <v>0</v>
      </c>
      <c r="U194" s="929">
        <v>0</v>
      </c>
      <c r="V194" s="594">
        <v>10000</v>
      </c>
      <c r="W194" s="594">
        <v>9000</v>
      </c>
      <c r="X194" s="930">
        <v>5000</v>
      </c>
      <c r="Y194" s="930">
        <v>24000</v>
      </c>
      <c r="Z194" s="810">
        <v>0</v>
      </c>
      <c r="AA194" s="1122">
        <v>0</v>
      </c>
      <c r="AB194" s="594">
        <v>0</v>
      </c>
      <c r="AC194" s="697">
        <v>0</v>
      </c>
      <c r="AD194" s="935">
        <v>0</v>
      </c>
      <c r="AE194" s="466" t="s">
        <v>1378</v>
      </c>
      <c r="AF194" s="353" t="s">
        <v>19</v>
      </c>
      <c r="AG194" s="1000" t="s">
        <v>1007</v>
      </c>
      <c r="AH194" s="1000" t="s">
        <v>513</v>
      </c>
      <c r="AI194" s="805" t="s">
        <v>513</v>
      </c>
    </row>
    <row r="195" spans="1:35" s="409" customFormat="1" ht="25.5" x14ac:dyDescent="0.25">
      <c r="A195" s="59" t="s">
        <v>647</v>
      </c>
      <c r="B195" s="85" t="s">
        <v>120</v>
      </c>
      <c r="C195" s="5">
        <v>2017</v>
      </c>
      <c r="D195" s="5" t="s">
        <v>114</v>
      </c>
      <c r="E195" s="63" t="s">
        <v>11</v>
      </c>
      <c r="F195" s="64" t="s">
        <v>121</v>
      </c>
      <c r="G195" s="425" t="s">
        <v>122</v>
      </c>
      <c r="H195" s="16">
        <f>69390.465+1254.802</f>
        <v>70645.266999999993</v>
      </c>
      <c r="I195" s="16">
        <v>1254.8019999999999</v>
      </c>
      <c r="J195" s="24">
        <v>0</v>
      </c>
      <c r="K195" s="412">
        <v>4008.75803</v>
      </c>
      <c r="L195" s="1252">
        <v>62.012500000000003</v>
      </c>
      <c r="M195" s="1252">
        <v>1341.8267000000001</v>
      </c>
      <c r="N195" s="1302">
        <v>0</v>
      </c>
      <c r="O195" s="225">
        <v>0</v>
      </c>
      <c r="P195" s="202">
        <f>2000+2008.75803</f>
        <v>4008.75803</v>
      </c>
      <c r="Q195" s="225">
        <f>23000-2008.75803</f>
        <v>20991.241969999999</v>
      </c>
      <c r="R195" s="1268">
        <v>25000</v>
      </c>
      <c r="S195" s="1269">
        <v>0</v>
      </c>
      <c r="T195" s="1268">
        <f t="shared" si="16"/>
        <v>25000</v>
      </c>
      <c r="U195" s="850">
        <v>14000</v>
      </c>
      <c r="V195" s="201">
        <v>14000</v>
      </c>
      <c r="W195" s="201">
        <v>16390.465</v>
      </c>
      <c r="X195" s="17">
        <v>0</v>
      </c>
      <c r="Y195" s="17">
        <f>44390.465</f>
        <v>44390.464999999997</v>
      </c>
      <c r="Z195" s="18">
        <v>0</v>
      </c>
      <c r="AA195" s="33">
        <v>0</v>
      </c>
      <c r="AB195" s="201">
        <v>0</v>
      </c>
      <c r="AC195" s="29">
        <v>0</v>
      </c>
      <c r="AD195" s="980">
        <v>70700</v>
      </c>
      <c r="AE195" s="285" t="s">
        <v>1379</v>
      </c>
      <c r="AF195" s="5" t="s">
        <v>43</v>
      </c>
      <c r="AG195" s="193" t="s">
        <v>1006</v>
      </c>
      <c r="AH195" s="193" t="s">
        <v>514</v>
      </c>
      <c r="AI195" s="104" t="s">
        <v>514</v>
      </c>
    </row>
    <row r="196" spans="1:35" s="354" customFormat="1" ht="51" x14ac:dyDescent="0.25">
      <c r="A196" s="59" t="s">
        <v>648</v>
      </c>
      <c r="B196" s="85" t="s">
        <v>123</v>
      </c>
      <c r="C196" s="5">
        <v>2017</v>
      </c>
      <c r="D196" s="5" t="s">
        <v>618</v>
      </c>
      <c r="E196" s="63" t="s">
        <v>11</v>
      </c>
      <c r="F196" s="64" t="s">
        <v>124</v>
      </c>
      <c r="G196" s="425" t="s">
        <v>125</v>
      </c>
      <c r="H196" s="16">
        <v>21389</v>
      </c>
      <c r="I196" s="16">
        <v>0</v>
      </c>
      <c r="J196" s="24">
        <v>0</v>
      </c>
      <c r="K196" s="412">
        <v>0</v>
      </c>
      <c r="L196" s="1252">
        <v>0</v>
      </c>
      <c r="M196" s="1252">
        <v>0</v>
      </c>
      <c r="N196" s="1302">
        <v>0</v>
      </c>
      <c r="O196" s="330">
        <v>0</v>
      </c>
      <c r="P196" s="330">
        <v>0</v>
      </c>
      <c r="Q196" s="225">
        <v>0</v>
      </c>
      <c r="R196" s="1268">
        <v>0</v>
      </c>
      <c r="S196" s="1269">
        <v>0</v>
      </c>
      <c r="T196" s="1268">
        <f t="shared" si="16"/>
        <v>0</v>
      </c>
      <c r="U196" s="850">
        <v>0</v>
      </c>
      <c r="V196" s="201">
        <v>10000</v>
      </c>
      <c r="W196" s="201">
        <v>11389</v>
      </c>
      <c r="X196" s="17">
        <v>0</v>
      </c>
      <c r="Y196" s="17">
        <f>10000+11389</f>
        <v>21389</v>
      </c>
      <c r="Z196" s="18">
        <v>0</v>
      </c>
      <c r="AA196" s="33">
        <v>0</v>
      </c>
      <c r="AB196" s="201">
        <v>0</v>
      </c>
      <c r="AC196" s="225">
        <v>0</v>
      </c>
      <c r="AD196" s="253">
        <v>0</v>
      </c>
      <c r="AE196" s="52" t="s">
        <v>484</v>
      </c>
      <c r="AF196" s="5" t="s">
        <v>13</v>
      </c>
      <c r="AG196" s="1657" t="s">
        <v>904</v>
      </c>
      <c r="AH196" s="193" t="s">
        <v>513</v>
      </c>
      <c r="AI196" s="104" t="s">
        <v>513</v>
      </c>
    </row>
    <row r="197" spans="1:35" s="354" customFormat="1" ht="25.5" x14ac:dyDescent="0.25">
      <c r="A197" s="59" t="s">
        <v>649</v>
      </c>
      <c r="B197" s="85" t="s">
        <v>127</v>
      </c>
      <c r="C197" s="5">
        <v>2017</v>
      </c>
      <c r="D197" s="5" t="s">
        <v>618</v>
      </c>
      <c r="E197" s="63" t="s">
        <v>11</v>
      </c>
      <c r="F197" s="64" t="s">
        <v>126</v>
      </c>
      <c r="G197" s="425" t="s">
        <v>128</v>
      </c>
      <c r="H197" s="16">
        <v>14599.42</v>
      </c>
      <c r="I197" s="61">
        <v>139.15</v>
      </c>
      <c r="J197" s="24">
        <v>0</v>
      </c>
      <c r="K197" s="412">
        <v>0</v>
      </c>
      <c r="L197" s="1252">
        <v>0</v>
      </c>
      <c r="M197" s="1252">
        <v>0</v>
      </c>
      <c r="N197" s="1302">
        <v>0</v>
      </c>
      <c r="O197" s="225">
        <v>0</v>
      </c>
      <c r="P197" s="202">
        <v>0</v>
      </c>
      <c r="Q197" s="225">
        <v>0</v>
      </c>
      <c r="R197" s="1268">
        <v>0</v>
      </c>
      <c r="S197" s="1269">
        <v>0</v>
      </c>
      <c r="T197" s="1268">
        <f t="shared" si="16"/>
        <v>0</v>
      </c>
      <c r="U197" s="850">
        <v>0</v>
      </c>
      <c r="V197" s="201">
        <v>0</v>
      </c>
      <c r="W197" s="201">
        <v>0</v>
      </c>
      <c r="X197" s="17">
        <v>0</v>
      </c>
      <c r="Y197" s="32">
        <v>0</v>
      </c>
      <c r="Z197" s="31">
        <v>14460.27</v>
      </c>
      <c r="AA197" s="33">
        <v>0</v>
      </c>
      <c r="AB197" s="201">
        <v>0</v>
      </c>
      <c r="AC197" s="225">
        <v>0</v>
      </c>
      <c r="AD197" s="253">
        <v>0</v>
      </c>
      <c r="AE197" s="52" t="s">
        <v>484</v>
      </c>
      <c r="AF197" s="5" t="s">
        <v>19</v>
      </c>
      <c r="AG197" s="193" t="s">
        <v>610</v>
      </c>
      <c r="AH197" s="193" t="s">
        <v>513</v>
      </c>
      <c r="AI197" s="104" t="s">
        <v>513</v>
      </c>
    </row>
    <row r="198" spans="1:35" s="388" customFormat="1" ht="38.25" x14ac:dyDescent="0.25">
      <c r="A198" s="648" t="s">
        <v>650</v>
      </c>
      <c r="B198" s="434" t="s">
        <v>129</v>
      </c>
      <c r="C198" s="382">
        <v>2017</v>
      </c>
      <c r="D198" s="382" t="s">
        <v>618</v>
      </c>
      <c r="E198" s="530" t="s">
        <v>130</v>
      </c>
      <c r="F198" s="567" t="s">
        <v>130</v>
      </c>
      <c r="G198" s="568" t="s">
        <v>131</v>
      </c>
      <c r="H198" s="432">
        <v>1756.22478</v>
      </c>
      <c r="I198" s="314">
        <v>782.005</v>
      </c>
      <c r="J198" s="436">
        <v>0</v>
      </c>
      <c r="K198" s="1994">
        <v>0</v>
      </c>
      <c r="L198" s="1542">
        <f>941.40458+26.62+6.1952</f>
        <v>974.21978000000001</v>
      </c>
      <c r="M198" s="1542">
        <v>0</v>
      </c>
      <c r="N198" s="465">
        <v>0</v>
      </c>
      <c r="O198" s="664">
        <v>0</v>
      </c>
      <c r="P198" s="602">
        <v>0</v>
      </c>
      <c r="Q198" s="610">
        <f>32.8152+941.40458</f>
        <v>974.21978000000001</v>
      </c>
      <c r="R198" s="1543">
        <v>1219.9949999999999</v>
      </c>
      <c r="S198" s="737">
        <v>-245.77521999999999</v>
      </c>
      <c r="T198" s="1543">
        <f t="shared" si="16"/>
        <v>974.2197799999999</v>
      </c>
      <c r="U198" s="1658">
        <v>0</v>
      </c>
      <c r="V198" s="1659">
        <v>0</v>
      </c>
      <c r="W198" s="1659">
        <v>0</v>
      </c>
      <c r="X198" s="458">
        <v>0</v>
      </c>
      <c r="Y198" s="462">
        <v>0</v>
      </c>
      <c r="Z198" s="1660">
        <v>0</v>
      </c>
      <c r="AA198" s="661">
        <v>0</v>
      </c>
      <c r="AB198" s="1659">
        <v>0</v>
      </c>
      <c r="AC198" s="664"/>
      <c r="AD198" s="663">
        <v>0</v>
      </c>
      <c r="AE198" s="459" t="s">
        <v>1380</v>
      </c>
      <c r="AF198" s="457" t="s">
        <v>535</v>
      </c>
      <c r="AG198" s="461" t="s">
        <v>472</v>
      </c>
      <c r="AH198" s="461" t="s">
        <v>514</v>
      </c>
      <c r="AI198" s="460" t="s">
        <v>514</v>
      </c>
    </row>
    <row r="199" spans="1:35" s="354" customFormat="1" ht="30" x14ac:dyDescent="0.25">
      <c r="A199" s="1001" t="s">
        <v>651</v>
      </c>
      <c r="B199" s="945" t="s">
        <v>132</v>
      </c>
      <c r="C199" s="454">
        <v>2017</v>
      </c>
      <c r="D199" s="454" t="s">
        <v>618</v>
      </c>
      <c r="E199" s="576" t="s">
        <v>133</v>
      </c>
      <c r="F199" s="994" t="s">
        <v>133</v>
      </c>
      <c r="G199" s="995" t="s">
        <v>134</v>
      </c>
      <c r="H199" s="551">
        <v>1300</v>
      </c>
      <c r="I199" s="628">
        <v>0</v>
      </c>
      <c r="J199" s="552">
        <v>0</v>
      </c>
      <c r="K199" s="1901">
        <v>0</v>
      </c>
      <c r="L199" s="1539">
        <v>0</v>
      </c>
      <c r="M199" s="1539">
        <v>0</v>
      </c>
      <c r="N199" s="1493">
        <v>0</v>
      </c>
      <c r="O199" s="608">
        <v>0</v>
      </c>
      <c r="P199" s="918">
        <v>0</v>
      </c>
      <c r="Q199" s="608">
        <v>0</v>
      </c>
      <c r="R199" s="1449">
        <v>100</v>
      </c>
      <c r="S199" s="1450">
        <v>-100</v>
      </c>
      <c r="T199" s="1449">
        <f t="shared" si="16"/>
        <v>0</v>
      </c>
      <c r="U199" s="919">
        <v>100</v>
      </c>
      <c r="V199" s="920">
        <v>600</v>
      </c>
      <c r="W199" s="920">
        <v>600</v>
      </c>
      <c r="X199" s="921">
        <v>0</v>
      </c>
      <c r="Y199" s="921">
        <v>1300</v>
      </c>
      <c r="Z199" s="578">
        <v>0</v>
      </c>
      <c r="AA199" s="556">
        <v>0</v>
      </c>
      <c r="AB199" s="920">
        <v>0</v>
      </c>
      <c r="AC199" s="608">
        <v>0</v>
      </c>
      <c r="AD199" s="947">
        <v>0</v>
      </c>
      <c r="AE199" s="659" t="s">
        <v>1381</v>
      </c>
      <c r="AF199" s="454" t="s">
        <v>19</v>
      </c>
      <c r="AG199" s="996" t="s">
        <v>899</v>
      </c>
      <c r="AH199" s="996" t="s">
        <v>513</v>
      </c>
      <c r="AI199" s="555" t="s">
        <v>513</v>
      </c>
    </row>
    <row r="200" spans="1:35" s="354" customFormat="1" ht="38.25" x14ac:dyDescent="0.25">
      <c r="A200" s="59" t="s">
        <v>652</v>
      </c>
      <c r="B200" s="85" t="s">
        <v>136</v>
      </c>
      <c r="C200" s="5">
        <v>2017</v>
      </c>
      <c r="D200" s="5" t="s">
        <v>618</v>
      </c>
      <c r="E200" s="63" t="s">
        <v>11</v>
      </c>
      <c r="F200" s="64" t="s">
        <v>137</v>
      </c>
      <c r="G200" s="425" t="s">
        <v>138</v>
      </c>
      <c r="H200" s="16">
        <v>17756</v>
      </c>
      <c r="I200" s="16">
        <v>603.79</v>
      </c>
      <c r="J200" s="24">
        <v>0</v>
      </c>
      <c r="K200" s="412">
        <v>0</v>
      </c>
      <c r="L200" s="1252">
        <v>0</v>
      </c>
      <c r="M200" s="1252">
        <v>0</v>
      </c>
      <c r="N200" s="1302">
        <v>0</v>
      </c>
      <c r="O200" s="225">
        <v>0</v>
      </c>
      <c r="P200" s="202">
        <v>0</v>
      </c>
      <c r="Q200" s="225">
        <v>0</v>
      </c>
      <c r="R200" s="1268">
        <v>0</v>
      </c>
      <c r="S200" s="1269">
        <v>0</v>
      </c>
      <c r="T200" s="1268">
        <f t="shared" si="16"/>
        <v>0</v>
      </c>
      <c r="U200" s="850">
        <v>0</v>
      </c>
      <c r="V200" s="201">
        <v>0</v>
      </c>
      <c r="W200" s="201">
        <v>10000</v>
      </c>
      <c r="X200" s="17">
        <v>7152.21</v>
      </c>
      <c r="Y200" s="17">
        <v>17152.21</v>
      </c>
      <c r="Z200" s="18">
        <v>0</v>
      </c>
      <c r="AA200" s="33">
        <v>0</v>
      </c>
      <c r="AB200" s="201">
        <v>0</v>
      </c>
      <c r="AC200" s="225">
        <v>0</v>
      </c>
      <c r="AD200" s="253">
        <v>0</v>
      </c>
      <c r="AE200" s="52" t="s">
        <v>484</v>
      </c>
      <c r="AF200" s="5" t="s">
        <v>19</v>
      </c>
      <c r="AG200" s="193" t="s">
        <v>609</v>
      </c>
      <c r="AH200" s="193" t="s">
        <v>513</v>
      </c>
      <c r="AI200" s="104" t="s">
        <v>513</v>
      </c>
    </row>
    <row r="201" spans="1:35" s="354" customFormat="1" ht="25.5" x14ac:dyDescent="0.25">
      <c r="A201" s="1001" t="s">
        <v>653</v>
      </c>
      <c r="B201" s="945" t="s">
        <v>139</v>
      </c>
      <c r="C201" s="454">
        <v>2017</v>
      </c>
      <c r="D201" s="454" t="s">
        <v>618</v>
      </c>
      <c r="E201" s="576" t="s">
        <v>11</v>
      </c>
      <c r="F201" s="994" t="s">
        <v>140</v>
      </c>
      <c r="G201" s="995" t="s">
        <v>141</v>
      </c>
      <c r="H201" s="551">
        <v>88000</v>
      </c>
      <c r="I201" s="628">
        <v>0</v>
      </c>
      <c r="J201" s="552">
        <v>822.8</v>
      </c>
      <c r="K201" s="1901">
        <v>1978.35</v>
      </c>
      <c r="L201" s="1539">
        <v>0</v>
      </c>
      <c r="M201" s="1539">
        <v>0</v>
      </c>
      <c r="N201" s="1493">
        <v>0</v>
      </c>
      <c r="O201" s="608">
        <v>822.8</v>
      </c>
      <c r="P201" s="918">
        <v>1978.35</v>
      </c>
      <c r="Q201" s="608">
        <v>0</v>
      </c>
      <c r="R201" s="1449">
        <v>6050</v>
      </c>
      <c r="S201" s="1450">
        <v>-3248.85</v>
      </c>
      <c r="T201" s="1449">
        <f t="shared" si="16"/>
        <v>2801.15</v>
      </c>
      <c r="U201" s="919">
        <v>1663.75</v>
      </c>
      <c r="V201" s="920">
        <v>1579.05</v>
      </c>
      <c r="W201" s="920">
        <v>3498.85</v>
      </c>
      <c r="X201" s="921">
        <v>39539</v>
      </c>
      <c r="Y201" s="923">
        <v>46280.65</v>
      </c>
      <c r="Z201" s="1002">
        <v>38918.199999999997</v>
      </c>
      <c r="AA201" s="556">
        <v>0</v>
      </c>
      <c r="AB201" s="920">
        <v>0</v>
      </c>
      <c r="AC201" s="608">
        <v>0</v>
      </c>
      <c r="AD201" s="947">
        <v>0</v>
      </c>
      <c r="AE201" s="659" t="s">
        <v>1382</v>
      </c>
      <c r="AF201" s="454" t="s">
        <v>19</v>
      </c>
      <c r="AG201" s="996" t="s">
        <v>1052</v>
      </c>
      <c r="AH201" s="996" t="s">
        <v>513</v>
      </c>
      <c r="AI201" s="555" t="s">
        <v>513</v>
      </c>
    </row>
    <row r="202" spans="1:35" s="354" customFormat="1" ht="38.25" x14ac:dyDescent="0.25">
      <c r="A202" s="59" t="s">
        <v>654</v>
      </c>
      <c r="B202" s="85" t="s">
        <v>142</v>
      </c>
      <c r="C202" s="5">
        <v>2017</v>
      </c>
      <c r="D202" s="5" t="s">
        <v>618</v>
      </c>
      <c r="E202" s="63" t="s">
        <v>11</v>
      </c>
      <c r="F202" s="64" t="s">
        <v>143</v>
      </c>
      <c r="G202" s="425" t="s">
        <v>144</v>
      </c>
      <c r="H202" s="16">
        <v>12097.05</v>
      </c>
      <c r="I202" s="61">
        <v>44.379999999999995</v>
      </c>
      <c r="J202" s="24">
        <v>204.49</v>
      </c>
      <c r="K202" s="412">
        <v>0</v>
      </c>
      <c r="L202" s="1252">
        <v>7.26</v>
      </c>
      <c r="M202" s="1252">
        <f>25.41+418.42663+13.31</f>
        <v>457.14663000000002</v>
      </c>
      <c r="N202" s="1302">
        <v>204.49</v>
      </c>
      <c r="O202" s="225">
        <f>165-165</f>
        <v>0</v>
      </c>
      <c r="P202" s="202">
        <v>0</v>
      </c>
      <c r="Q202" s="225">
        <v>5999.549</v>
      </c>
      <c r="R202" s="1268">
        <v>6204.0389999999989</v>
      </c>
      <c r="S202" s="1269">
        <v>0</v>
      </c>
      <c r="T202" s="1268">
        <f t="shared" si="16"/>
        <v>6204.0389999999989</v>
      </c>
      <c r="U202" s="850">
        <v>4000</v>
      </c>
      <c r="V202" s="201">
        <v>1848.6310000000001</v>
      </c>
      <c r="W202" s="201">
        <v>0</v>
      </c>
      <c r="X202" s="17">
        <v>0</v>
      </c>
      <c r="Y202" s="17">
        <v>5848.6310000000003</v>
      </c>
      <c r="Z202" s="18">
        <v>0</v>
      </c>
      <c r="AA202" s="33">
        <v>0</v>
      </c>
      <c r="AB202" s="201">
        <v>0</v>
      </c>
      <c r="AC202" s="225">
        <v>0</v>
      </c>
      <c r="AD202" s="253">
        <v>0</v>
      </c>
      <c r="AE202" s="285" t="s">
        <v>484</v>
      </c>
      <c r="AF202" s="5" t="s">
        <v>43</v>
      </c>
      <c r="AG202" s="193" t="s">
        <v>1008</v>
      </c>
      <c r="AH202" s="193" t="s">
        <v>514</v>
      </c>
      <c r="AI202" s="104" t="s">
        <v>514</v>
      </c>
    </row>
    <row r="203" spans="1:35" s="354" customFormat="1" ht="38.25" x14ac:dyDescent="0.25">
      <c r="A203" s="59" t="s">
        <v>655</v>
      </c>
      <c r="B203" s="85" t="s">
        <v>145</v>
      </c>
      <c r="C203" s="5">
        <v>2018</v>
      </c>
      <c r="D203" s="5" t="s">
        <v>626</v>
      </c>
      <c r="E203" s="63" t="s">
        <v>146</v>
      </c>
      <c r="F203" s="64" t="s">
        <v>146</v>
      </c>
      <c r="G203" s="1661" t="s">
        <v>147</v>
      </c>
      <c r="H203" s="16">
        <v>5022</v>
      </c>
      <c r="I203" s="16">
        <v>0</v>
      </c>
      <c r="J203" s="24">
        <v>0</v>
      </c>
      <c r="K203" s="412">
        <v>0</v>
      </c>
      <c r="L203" s="1252">
        <v>1561.0034599999999</v>
      </c>
      <c r="M203" s="1252">
        <v>1889.4393299999999</v>
      </c>
      <c r="N203" s="1302">
        <f>500-500</f>
        <v>0</v>
      </c>
      <c r="O203" s="225">
        <v>0</v>
      </c>
      <c r="P203" s="202">
        <v>0</v>
      </c>
      <c r="Q203" s="225">
        <f>4000+500</f>
        <v>4500</v>
      </c>
      <c r="R203" s="1268">
        <v>4500</v>
      </c>
      <c r="S203" s="1269">
        <v>0</v>
      </c>
      <c r="T203" s="1268">
        <f t="shared" si="16"/>
        <v>4500</v>
      </c>
      <c r="U203" s="850">
        <v>0</v>
      </c>
      <c r="V203" s="201">
        <v>0</v>
      </c>
      <c r="W203" s="201">
        <v>0</v>
      </c>
      <c r="X203" s="17">
        <v>0</v>
      </c>
      <c r="Y203" s="17">
        <v>0</v>
      </c>
      <c r="Z203" s="25">
        <v>0</v>
      </c>
      <c r="AA203" s="33">
        <v>0</v>
      </c>
      <c r="AB203" s="201">
        <v>0</v>
      </c>
      <c r="AC203" s="225">
        <v>522</v>
      </c>
      <c r="AD203" s="253">
        <v>0</v>
      </c>
      <c r="AE203" s="836" t="s">
        <v>1383</v>
      </c>
      <c r="AF203" s="5" t="s">
        <v>43</v>
      </c>
      <c r="AG203" s="193" t="s">
        <v>732</v>
      </c>
      <c r="AH203" s="193" t="s">
        <v>514</v>
      </c>
      <c r="AI203" s="104" t="s">
        <v>514</v>
      </c>
    </row>
    <row r="204" spans="1:35" s="391" customFormat="1" ht="38.25" x14ac:dyDescent="0.25">
      <c r="A204" s="1029" t="s">
        <v>656</v>
      </c>
      <c r="B204" s="988" t="s">
        <v>148</v>
      </c>
      <c r="C204" s="298">
        <v>2018</v>
      </c>
      <c r="D204" s="298" t="s">
        <v>626</v>
      </c>
      <c r="E204" s="407" t="s">
        <v>149</v>
      </c>
      <c r="F204" s="287" t="s">
        <v>149</v>
      </c>
      <c r="G204" s="989" t="s">
        <v>150</v>
      </c>
      <c r="H204" s="300">
        <v>4048.4174800000001</v>
      </c>
      <c r="I204" s="333">
        <v>0</v>
      </c>
      <c r="J204" s="299">
        <v>150.64500000000001</v>
      </c>
      <c r="K204" s="1916">
        <v>566.26490000000001</v>
      </c>
      <c r="L204" s="1545">
        <v>1289.09338</v>
      </c>
      <c r="M204" s="1545">
        <v>0</v>
      </c>
      <c r="N204" s="1662">
        <f>150-150</f>
        <v>0</v>
      </c>
      <c r="O204" s="925">
        <v>150.64500000000001</v>
      </c>
      <c r="P204" s="926">
        <v>566.26490000000001</v>
      </c>
      <c r="Q204" s="925">
        <v>3031.50758</v>
      </c>
      <c r="R204" s="1546">
        <v>3748.4174800000001</v>
      </c>
      <c r="S204" s="1547">
        <v>0</v>
      </c>
      <c r="T204" s="1546">
        <f t="shared" si="16"/>
        <v>3748.4174800000001</v>
      </c>
      <c r="U204" s="927">
        <v>0</v>
      </c>
      <c r="V204" s="527">
        <v>0</v>
      </c>
      <c r="W204" s="527">
        <v>0</v>
      </c>
      <c r="X204" s="575">
        <v>0</v>
      </c>
      <c r="Y204" s="575">
        <v>0</v>
      </c>
      <c r="Z204" s="1549">
        <v>0</v>
      </c>
      <c r="AA204" s="1120">
        <v>300</v>
      </c>
      <c r="AB204" s="527">
        <v>0</v>
      </c>
      <c r="AC204" s="925">
        <v>0</v>
      </c>
      <c r="AD204" s="1025">
        <v>0</v>
      </c>
      <c r="AE204" s="280" t="s">
        <v>1384</v>
      </c>
      <c r="AF204" s="298" t="s">
        <v>43</v>
      </c>
      <c r="AG204" s="991" t="s">
        <v>208</v>
      </c>
      <c r="AH204" s="991" t="s">
        <v>514</v>
      </c>
      <c r="AI204" s="992" t="s">
        <v>514</v>
      </c>
    </row>
    <row r="205" spans="1:35" s="354" customFormat="1" ht="38.25" x14ac:dyDescent="0.25">
      <c r="A205" s="59" t="s">
        <v>657</v>
      </c>
      <c r="B205" s="85" t="s">
        <v>153</v>
      </c>
      <c r="C205" s="5">
        <v>2018</v>
      </c>
      <c r="D205" s="5" t="s">
        <v>152</v>
      </c>
      <c r="E205" s="63" t="s">
        <v>146</v>
      </c>
      <c r="F205" s="64" t="s">
        <v>146</v>
      </c>
      <c r="G205" s="1661" t="s">
        <v>154</v>
      </c>
      <c r="H205" s="16">
        <v>6900</v>
      </c>
      <c r="I205" s="16">
        <v>0</v>
      </c>
      <c r="J205" s="24">
        <v>0</v>
      </c>
      <c r="K205" s="412">
        <v>0</v>
      </c>
      <c r="L205" s="1252">
        <v>0</v>
      </c>
      <c r="M205" s="1252">
        <v>0</v>
      </c>
      <c r="N205" s="1302">
        <f>500-500</f>
        <v>0</v>
      </c>
      <c r="O205" s="225">
        <v>0</v>
      </c>
      <c r="P205" s="202">
        <v>0</v>
      </c>
      <c r="Q205" s="225">
        <v>500</v>
      </c>
      <c r="R205" s="1268">
        <v>500</v>
      </c>
      <c r="S205" s="1269">
        <v>0</v>
      </c>
      <c r="T205" s="1268">
        <f t="shared" si="16"/>
        <v>500</v>
      </c>
      <c r="U205" s="850">
        <v>0</v>
      </c>
      <c r="V205" s="201">
        <v>0</v>
      </c>
      <c r="W205" s="201">
        <v>0</v>
      </c>
      <c r="X205" s="17">
        <v>0</v>
      </c>
      <c r="Y205" s="17">
        <v>0</v>
      </c>
      <c r="Z205" s="25">
        <v>6400</v>
      </c>
      <c r="AA205" s="33">
        <v>0</v>
      </c>
      <c r="AB205" s="201">
        <v>0</v>
      </c>
      <c r="AC205" s="225">
        <v>0</v>
      </c>
      <c r="AD205" s="253">
        <v>0</v>
      </c>
      <c r="AE205" s="52" t="s">
        <v>484</v>
      </c>
      <c r="AF205" s="5" t="s">
        <v>19</v>
      </c>
      <c r="AG205" s="193" t="s">
        <v>616</v>
      </c>
      <c r="AH205" s="193" t="s">
        <v>513</v>
      </c>
      <c r="AI205" s="104" t="s">
        <v>513</v>
      </c>
    </row>
    <row r="206" spans="1:35" s="354" customFormat="1" ht="38.25" x14ac:dyDescent="0.25">
      <c r="A206" s="59" t="s">
        <v>658</v>
      </c>
      <c r="B206" s="85" t="s">
        <v>155</v>
      </c>
      <c r="C206" s="5">
        <v>2018</v>
      </c>
      <c r="D206" s="5" t="s">
        <v>152</v>
      </c>
      <c r="E206" s="63" t="s">
        <v>11</v>
      </c>
      <c r="F206" s="64" t="s">
        <v>156</v>
      </c>
      <c r="G206" s="425" t="s">
        <v>157</v>
      </c>
      <c r="H206" s="16">
        <v>69060</v>
      </c>
      <c r="I206" s="16">
        <v>111.8</v>
      </c>
      <c r="J206" s="24">
        <v>0</v>
      </c>
      <c r="K206" s="412">
        <v>0</v>
      </c>
      <c r="L206" s="1252">
        <v>0</v>
      </c>
      <c r="M206" s="1252">
        <v>0</v>
      </c>
      <c r="N206" s="1302">
        <v>0</v>
      </c>
      <c r="O206" s="225">
        <v>0</v>
      </c>
      <c r="P206" s="202">
        <v>0</v>
      </c>
      <c r="Q206" s="225">
        <v>0</v>
      </c>
      <c r="R206" s="1268">
        <v>0</v>
      </c>
      <c r="S206" s="1269">
        <v>0</v>
      </c>
      <c r="T206" s="1268">
        <f t="shared" si="16"/>
        <v>0</v>
      </c>
      <c r="U206" s="850">
        <v>0</v>
      </c>
      <c r="V206" s="201">
        <v>0</v>
      </c>
      <c r="W206" s="201">
        <v>0</v>
      </c>
      <c r="X206" s="17">
        <v>0</v>
      </c>
      <c r="Y206" s="17">
        <v>0</v>
      </c>
      <c r="Z206" s="18">
        <v>68948.2</v>
      </c>
      <c r="AA206" s="33">
        <v>0</v>
      </c>
      <c r="AB206" s="201">
        <v>0</v>
      </c>
      <c r="AC206" s="225">
        <v>0</v>
      </c>
      <c r="AD206" s="253">
        <v>0</v>
      </c>
      <c r="AE206" s="52" t="s">
        <v>484</v>
      </c>
      <c r="AF206" s="5" t="s">
        <v>13</v>
      </c>
      <c r="AG206" s="193" t="s">
        <v>542</v>
      </c>
      <c r="AH206" s="193" t="s">
        <v>513</v>
      </c>
      <c r="AI206" s="104" t="s">
        <v>513</v>
      </c>
    </row>
    <row r="207" spans="1:35" s="391" customFormat="1" ht="30" x14ac:dyDescent="0.25">
      <c r="A207" s="59" t="s">
        <v>659</v>
      </c>
      <c r="B207" s="85" t="s">
        <v>158</v>
      </c>
      <c r="C207" s="5">
        <v>2018</v>
      </c>
      <c r="D207" s="5" t="s">
        <v>152</v>
      </c>
      <c r="E207" s="63" t="s">
        <v>159</v>
      </c>
      <c r="F207" s="64" t="s">
        <v>159</v>
      </c>
      <c r="G207" s="425" t="s">
        <v>160</v>
      </c>
      <c r="H207" s="16">
        <v>1048.1600000000001</v>
      </c>
      <c r="I207" s="16">
        <v>48.4</v>
      </c>
      <c r="J207" s="24">
        <v>0</v>
      </c>
      <c r="K207" s="412">
        <v>53.55</v>
      </c>
      <c r="L207" s="1252">
        <v>0</v>
      </c>
      <c r="M207" s="1252">
        <v>0</v>
      </c>
      <c r="N207" s="1302">
        <v>0</v>
      </c>
      <c r="O207" s="225">
        <v>0</v>
      </c>
      <c r="P207" s="202">
        <v>53.55</v>
      </c>
      <c r="Q207" s="202">
        <f>746.76-53.55</f>
        <v>693.21</v>
      </c>
      <c r="R207" s="1268">
        <v>746.76</v>
      </c>
      <c r="S207" s="1269">
        <v>0</v>
      </c>
      <c r="T207" s="1268">
        <f t="shared" si="16"/>
        <v>746.76</v>
      </c>
      <c r="U207" s="850">
        <v>0</v>
      </c>
      <c r="V207" s="201">
        <v>0</v>
      </c>
      <c r="W207" s="201">
        <v>0</v>
      </c>
      <c r="X207" s="17">
        <v>0</v>
      </c>
      <c r="Y207" s="17">
        <v>0</v>
      </c>
      <c r="Z207" s="25">
        <v>0</v>
      </c>
      <c r="AA207" s="33">
        <v>253</v>
      </c>
      <c r="AB207" s="201">
        <v>0</v>
      </c>
      <c r="AC207" s="225">
        <v>0</v>
      </c>
      <c r="AD207" s="253">
        <v>0</v>
      </c>
      <c r="AE207" s="52" t="s">
        <v>484</v>
      </c>
      <c r="AF207" s="5" t="s">
        <v>19</v>
      </c>
      <c r="AG207" s="1657" t="s">
        <v>732</v>
      </c>
      <c r="AH207" s="193" t="s">
        <v>513</v>
      </c>
      <c r="AI207" s="104" t="s">
        <v>513</v>
      </c>
    </row>
    <row r="208" spans="1:35" s="354" customFormat="1" ht="25.5" x14ac:dyDescent="0.25">
      <c r="A208" s="59" t="s">
        <v>660</v>
      </c>
      <c r="B208" s="85" t="s">
        <v>161</v>
      </c>
      <c r="C208" s="5">
        <v>2018</v>
      </c>
      <c r="D208" s="5" t="s">
        <v>152</v>
      </c>
      <c r="E208" s="63" t="s">
        <v>11</v>
      </c>
      <c r="F208" s="64" t="s">
        <v>162</v>
      </c>
      <c r="G208" s="425" t="s">
        <v>163</v>
      </c>
      <c r="H208" s="16">
        <v>35544.959999999999</v>
      </c>
      <c r="I208" s="61">
        <v>1647.6570000000002</v>
      </c>
      <c r="J208" s="24">
        <v>0</v>
      </c>
      <c r="K208" s="412">
        <v>0</v>
      </c>
      <c r="L208" s="1252">
        <v>0</v>
      </c>
      <c r="M208" s="1252">
        <v>0</v>
      </c>
      <c r="N208" s="1302">
        <v>0</v>
      </c>
      <c r="O208" s="330">
        <v>0</v>
      </c>
      <c r="P208" s="202">
        <v>0</v>
      </c>
      <c r="Q208" s="225">
        <v>0</v>
      </c>
      <c r="R208" s="1268">
        <v>0</v>
      </c>
      <c r="S208" s="1269">
        <v>0</v>
      </c>
      <c r="T208" s="1268">
        <f t="shared" si="16"/>
        <v>0</v>
      </c>
      <c r="U208" s="850">
        <v>316.173</v>
      </c>
      <c r="V208" s="201">
        <v>0</v>
      </c>
      <c r="W208" s="201">
        <v>0</v>
      </c>
      <c r="X208" s="17">
        <v>20581.13</v>
      </c>
      <c r="Y208" s="17">
        <v>20897.303</v>
      </c>
      <c r="Z208" s="25">
        <v>13000</v>
      </c>
      <c r="AA208" s="33">
        <v>0</v>
      </c>
      <c r="AB208" s="201">
        <v>0</v>
      </c>
      <c r="AC208" s="225">
        <v>0</v>
      </c>
      <c r="AD208" s="253">
        <v>0</v>
      </c>
      <c r="AE208" s="285" t="s">
        <v>484</v>
      </c>
      <c r="AF208" s="5" t="s">
        <v>19</v>
      </c>
      <c r="AG208" s="193" t="s">
        <v>1007</v>
      </c>
      <c r="AH208" s="193" t="s">
        <v>513</v>
      </c>
      <c r="AI208" s="104" t="s">
        <v>513</v>
      </c>
    </row>
    <row r="209" spans="1:35" s="354" customFormat="1" ht="25.5" x14ac:dyDescent="0.25">
      <c r="A209" s="59" t="s">
        <v>661</v>
      </c>
      <c r="B209" s="85" t="s">
        <v>164</v>
      </c>
      <c r="C209" s="5">
        <v>2018</v>
      </c>
      <c r="D209" s="5" t="s">
        <v>152</v>
      </c>
      <c r="E209" s="63" t="s">
        <v>165</v>
      </c>
      <c r="F209" s="64" t="s">
        <v>165</v>
      </c>
      <c r="G209" s="425" t="s">
        <v>166</v>
      </c>
      <c r="H209" s="16">
        <v>950</v>
      </c>
      <c r="I209" s="639">
        <v>0</v>
      </c>
      <c r="J209" s="24">
        <v>0</v>
      </c>
      <c r="K209" s="412">
        <v>0</v>
      </c>
      <c r="L209" s="1252">
        <v>0</v>
      </c>
      <c r="M209" s="1252">
        <v>0</v>
      </c>
      <c r="N209" s="1302">
        <v>0</v>
      </c>
      <c r="O209" s="225">
        <v>0</v>
      </c>
      <c r="P209" s="202">
        <v>0</v>
      </c>
      <c r="Q209" s="225">
        <v>0</v>
      </c>
      <c r="R209" s="1268">
        <v>0</v>
      </c>
      <c r="S209" s="1269">
        <v>0</v>
      </c>
      <c r="T209" s="1268">
        <f t="shared" si="16"/>
        <v>0</v>
      </c>
      <c r="U209" s="850">
        <v>0</v>
      </c>
      <c r="V209" s="201">
        <v>0</v>
      </c>
      <c r="W209" s="201">
        <v>950</v>
      </c>
      <c r="X209" s="17">
        <v>0</v>
      </c>
      <c r="Y209" s="17">
        <v>950</v>
      </c>
      <c r="Z209" s="25">
        <v>0</v>
      </c>
      <c r="AA209" s="33">
        <v>0</v>
      </c>
      <c r="AB209" s="201">
        <v>0</v>
      </c>
      <c r="AC209" s="225">
        <v>0</v>
      </c>
      <c r="AD209" s="253">
        <v>0</v>
      </c>
      <c r="AE209" s="52" t="s">
        <v>484</v>
      </c>
      <c r="AF209" s="5" t="s">
        <v>19</v>
      </c>
      <c r="AG209" s="193" t="s">
        <v>616</v>
      </c>
      <c r="AH209" s="193" t="s">
        <v>513</v>
      </c>
      <c r="AI209" s="104" t="s">
        <v>513</v>
      </c>
    </row>
    <row r="210" spans="1:35" s="388" customFormat="1" ht="25.5" x14ac:dyDescent="0.25">
      <c r="A210" s="163" t="s">
        <v>662</v>
      </c>
      <c r="B210" s="114" t="s">
        <v>611</v>
      </c>
      <c r="C210" s="66">
        <v>2018</v>
      </c>
      <c r="D210" s="66" t="s">
        <v>152</v>
      </c>
      <c r="E210" s="67" t="s">
        <v>167</v>
      </c>
      <c r="F210" s="74" t="s">
        <v>167</v>
      </c>
      <c r="G210" s="147" t="s">
        <v>168</v>
      </c>
      <c r="H210" s="21">
        <v>1971</v>
      </c>
      <c r="I210" s="129">
        <v>0</v>
      </c>
      <c r="J210" s="36">
        <v>0</v>
      </c>
      <c r="K210" s="1994">
        <v>1371</v>
      </c>
      <c r="L210" s="1256">
        <v>0</v>
      </c>
      <c r="M210" s="1256">
        <v>0</v>
      </c>
      <c r="N210" s="268">
        <v>0</v>
      </c>
      <c r="O210" s="244">
        <v>0</v>
      </c>
      <c r="P210" s="236">
        <f>871+500</f>
        <v>1371</v>
      </c>
      <c r="Q210" s="244">
        <v>0</v>
      </c>
      <c r="R210" s="1550">
        <v>1371</v>
      </c>
      <c r="S210" s="494">
        <v>0</v>
      </c>
      <c r="T210" s="1550">
        <f t="shared" si="16"/>
        <v>1371</v>
      </c>
      <c r="U210" s="269">
        <v>0</v>
      </c>
      <c r="V210" s="207">
        <v>0</v>
      </c>
      <c r="W210" s="207">
        <v>0</v>
      </c>
      <c r="X210" s="22">
        <v>0</v>
      </c>
      <c r="Y210" s="209">
        <v>0</v>
      </c>
      <c r="Z210" s="19">
        <v>0</v>
      </c>
      <c r="AA210" s="34">
        <v>0</v>
      </c>
      <c r="AB210" s="207">
        <v>0</v>
      </c>
      <c r="AC210" s="244">
        <v>600</v>
      </c>
      <c r="AD210" s="262">
        <v>0</v>
      </c>
      <c r="AE210" s="113" t="s">
        <v>484</v>
      </c>
      <c r="AF210" s="66" t="s">
        <v>535</v>
      </c>
      <c r="AG210" s="318" t="s">
        <v>541</v>
      </c>
      <c r="AH210" s="210" t="s">
        <v>514</v>
      </c>
      <c r="AI210" s="65" t="s">
        <v>514</v>
      </c>
    </row>
    <row r="211" spans="1:35" s="354" customFormat="1" ht="38.25" x14ac:dyDescent="0.25">
      <c r="A211" s="59" t="s">
        <v>663</v>
      </c>
      <c r="B211" s="85" t="s">
        <v>169</v>
      </c>
      <c r="C211" s="5">
        <v>2018</v>
      </c>
      <c r="D211" s="5" t="s">
        <v>152</v>
      </c>
      <c r="E211" s="60" t="s">
        <v>637</v>
      </c>
      <c r="F211" s="352" t="s">
        <v>637</v>
      </c>
      <c r="G211" s="484" t="s">
        <v>170</v>
      </c>
      <c r="H211" s="6">
        <v>4200</v>
      </c>
      <c r="I211" s="343">
        <v>0</v>
      </c>
      <c r="J211" s="24">
        <v>0</v>
      </c>
      <c r="K211" s="412">
        <v>0</v>
      </c>
      <c r="L211" s="1252">
        <v>0</v>
      </c>
      <c r="M211" s="1252">
        <v>0</v>
      </c>
      <c r="N211" s="1302">
        <v>0</v>
      </c>
      <c r="O211" s="225">
        <v>0</v>
      </c>
      <c r="P211" s="501">
        <v>0</v>
      </c>
      <c r="Q211" s="294">
        <v>0</v>
      </c>
      <c r="R211" s="1268">
        <v>0</v>
      </c>
      <c r="S211" s="1269">
        <v>0</v>
      </c>
      <c r="T211" s="1268">
        <f t="shared" si="16"/>
        <v>0</v>
      </c>
      <c r="U211" s="852">
        <v>0</v>
      </c>
      <c r="V211" s="523">
        <v>2100</v>
      </c>
      <c r="W211" s="523">
        <v>2100</v>
      </c>
      <c r="X211" s="7">
        <v>0</v>
      </c>
      <c r="Y211" s="348">
        <v>4200</v>
      </c>
      <c r="Z211" s="25">
        <v>0</v>
      </c>
      <c r="AA211" s="33">
        <v>0</v>
      </c>
      <c r="AB211" s="496">
        <v>0</v>
      </c>
      <c r="AC211" s="844">
        <v>0</v>
      </c>
      <c r="AD211" s="2083">
        <v>0</v>
      </c>
      <c r="AE211" s="52" t="s">
        <v>612</v>
      </c>
      <c r="AF211" s="5" t="s">
        <v>19</v>
      </c>
      <c r="AG211" s="193" t="s">
        <v>616</v>
      </c>
      <c r="AH211" s="193" t="s">
        <v>513</v>
      </c>
      <c r="AI211" s="104" t="s">
        <v>513</v>
      </c>
    </row>
    <row r="212" spans="1:35" s="354" customFormat="1" ht="38.25" x14ac:dyDescent="0.25">
      <c r="A212" s="59" t="s">
        <v>664</v>
      </c>
      <c r="B212" s="85" t="s">
        <v>172</v>
      </c>
      <c r="C212" s="5">
        <v>2018</v>
      </c>
      <c r="D212" s="5" t="s">
        <v>171</v>
      </c>
      <c r="E212" s="60" t="s">
        <v>173</v>
      </c>
      <c r="F212" s="352" t="s">
        <v>173</v>
      </c>
      <c r="G212" s="146" t="s">
        <v>174</v>
      </c>
      <c r="H212" s="16">
        <v>4200</v>
      </c>
      <c r="I212" s="61">
        <v>170</v>
      </c>
      <c r="J212" s="24">
        <v>0</v>
      </c>
      <c r="K212" s="412">
        <v>0</v>
      </c>
      <c r="L212" s="1252">
        <v>0</v>
      </c>
      <c r="M212" s="1252">
        <v>0</v>
      </c>
      <c r="N212" s="1302">
        <v>0</v>
      </c>
      <c r="O212" s="225">
        <v>0</v>
      </c>
      <c r="P212" s="202">
        <v>0</v>
      </c>
      <c r="Q212" s="225">
        <v>0</v>
      </c>
      <c r="R212" s="1268">
        <v>0</v>
      </c>
      <c r="S212" s="1269">
        <v>0</v>
      </c>
      <c r="T212" s="1268">
        <f t="shared" si="16"/>
        <v>0</v>
      </c>
      <c r="U212" s="850">
        <v>0</v>
      </c>
      <c r="V212" s="201">
        <v>0</v>
      </c>
      <c r="W212" s="201">
        <v>0</v>
      </c>
      <c r="X212" s="17">
        <v>0</v>
      </c>
      <c r="Y212" s="42">
        <v>0</v>
      </c>
      <c r="Z212" s="25">
        <v>4030</v>
      </c>
      <c r="AA212" s="33">
        <v>0</v>
      </c>
      <c r="AB212" s="201">
        <v>0</v>
      </c>
      <c r="AC212" s="225">
        <v>0</v>
      </c>
      <c r="AD212" s="253">
        <v>0</v>
      </c>
      <c r="AE212" s="52" t="s">
        <v>566</v>
      </c>
      <c r="AF212" s="5" t="s">
        <v>19</v>
      </c>
      <c r="AG212" s="193" t="s">
        <v>542</v>
      </c>
      <c r="AH212" s="193" t="s">
        <v>513</v>
      </c>
      <c r="AI212" s="104" t="s">
        <v>513</v>
      </c>
    </row>
    <row r="213" spans="1:35" s="354" customFormat="1" ht="30" x14ac:dyDescent="0.25">
      <c r="A213" s="59" t="s">
        <v>665</v>
      </c>
      <c r="B213" s="85" t="s">
        <v>345</v>
      </c>
      <c r="C213" s="5">
        <v>2018</v>
      </c>
      <c r="D213" s="81" t="s">
        <v>78</v>
      </c>
      <c r="E213" s="60" t="s">
        <v>179</v>
      </c>
      <c r="F213" s="769" t="s">
        <v>179</v>
      </c>
      <c r="G213" s="146" t="s">
        <v>180</v>
      </c>
      <c r="H213" s="16">
        <v>6500</v>
      </c>
      <c r="I213" s="61">
        <v>0</v>
      </c>
      <c r="J213" s="24">
        <v>0</v>
      </c>
      <c r="K213" s="412">
        <v>0</v>
      </c>
      <c r="L213" s="1252">
        <v>0</v>
      </c>
      <c r="M213" s="1252">
        <v>0</v>
      </c>
      <c r="N213" s="1302">
        <v>0</v>
      </c>
      <c r="O213" s="225">
        <v>0</v>
      </c>
      <c r="P213" s="202">
        <v>0</v>
      </c>
      <c r="Q213" s="225">
        <v>0</v>
      </c>
      <c r="R213" s="1268">
        <v>0</v>
      </c>
      <c r="S213" s="1269">
        <v>0</v>
      </c>
      <c r="T213" s="1268">
        <f t="shared" si="16"/>
        <v>0</v>
      </c>
      <c r="U213" s="850">
        <v>0</v>
      </c>
      <c r="V213" s="201">
        <v>0</v>
      </c>
      <c r="W213" s="201">
        <v>6380</v>
      </c>
      <c r="X213" s="17">
        <v>0</v>
      </c>
      <c r="Y213" s="17">
        <v>6380</v>
      </c>
      <c r="Z213" s="25">
        <v>0</v>
      </c>
      <c r="AA213" s="33">
        <v>0</v>
      </c>
      <c r="AB213" s="201">
        <v>0</v>
      </c>
      <c r="AC213" s="225">
        <v>120</v>
      </c>
      <c r="AD213" s="253">
        <v>0</v>
      </c>
      <c r="AE213" s="285" t="s">
        <v>484</v>
      </c>
      <c r="AF213" s="5" t="s">
        <v>19</v>
      </c>
      <c r="AG213" s="193" t="s">
        <v>904</v>
      </c>
      <c r="AH213" s="193" t="s">
        <v>513</v>
      </c>
      <c r="AI213" s="104" t="s">
        <v>513</v>
      </c>
    </row>
    <row r="214" spans="1:35" s="388" customFormat="1" ht="25.5" x14ac:dyDescent="0.25">
      <c r="A214" s="648" t="s">
        <v>666</v>
      </c>
      <c r="B214" s="434" t="s">
        <v>346</v>
      </c>
      <c r="C214" s="382">
        <v>2018</v>
      </c>
      <c r="D214" s="469" t="s">
        <v>78</v>
      </c>
      <c r="E214" s="649" t="s">
        <v>181</v>
      </c>
      <c r="F214" s="1663" t="s">
        <v>181</v>
      </c>
      <c r="G214" s="641" t="s">
        <v>182</v>
      </c>
      <c r="H214" s="383">
        <v>1166.11969</v>
      </c>
      <c r="I214" s="642">
        <v>0</v>
      </c>
      <c r="J214" s="436">
        <v>0</v>
      </c>
      <c r="K214" s="1994">
        <v>99.22</v>
      </c>
      <c r="L214" s="1542">
        <v>1166.11969</v>
      </c>
      <c r="M214" s="1542">
        <v>0</v>
      </c>
      <c r="N214" s="715">
        <v>0</v>
      </c>
      <c r="O214" s="610">
        <v>0</v>
      </c>
      <c r="P214" s="602">
        <v>99.22</v>
      </c>
      <c r="Q214" s="610">
        <v>1066.89969</v>
      </c>
      <c r="R214" s="1543">
        <v>1295.5999999999999</v>
      </c>
      <c r="S214" s="737">
        <v>-129.48031</v>
      </c>
      <c r="T214" s="1543">
        <f t="shared" si="16"/>
        <v>1166.11969</v>
      </c>
      <c r="U214" s="713">
        <v>0</v>
      </c>
      <c r="V214" s="533">
        <v>0</v>
      </c>
      <c r="W214" s="533">
        <v>0</v>
      </c>
      <c r="X214" s="534">
        <v>0</v>
      </c>
      <c r="Y214" s="534">
        <v>0</v>
      </c>
      <c r="Z214" s="442">
        <v>0</v>
      </c>
      <c r="AA214" s="562">
        <v>0</v>
      </c>
      <c r="AB214" s="533">
        <v>0</v>
      </c>
      <c r="AC214" s="610">
        <v>0</v>
      </c>
      <c r="AD214" s="611">
        <v>0</v>
      </c>
      <c r="AE214" s="384" t="s">
        <v>1385</v>
      </c>
      <c r="AF214" s="382" t="s">
        <v>535</v>
      </c>
      <c r="AG214" s="566" t="s">
        <v>541</v>
      </c>
      <c r="AH214" s="566" t="s">
        <v>514</v>
      </c>
      <c r="AI214" s="565" t="s">
        <v>514</v>
      </c>
    </row>
    <row r="215" spans="1:35" s="354" customFormat="1" ht="38.25" x14ac:dyDescent="0.25">
      <c r="A215" s="59" t="s">
        <v>667</v>
      </c>
      <c r="B215" s="85" t="s">
        <v>347</v>
      </c>
      <c r="C215" s="5">
        <v>2018</v>
      </c>
      <c r="D215" s="81" t="s">
        <v>78</v>
      </c>
      <c r="E215" s="60" t="s">
        <v>11</v>
      </c>
      <c r="F215" s="769" t="s">
        <v>183</v>
      </c>
      <c r="G215" s="146" t="s">
        <v>184</v>
      </c>
      <c r="H215" s="16">
        <v>14900</v>
      </c>
      <c r="I215" s="61">
        <v>0</v>
      </c>
      <c r="J215" s="24">
        <v>0</v>
      </c>
      <c r="K215" s="412">
        <v>0</v>
      </c>
      <c r="L215" s="1252">
        <v>0</v>
      </c>
      <c r="M215" s="1252">
        <v>0</v>
      </c>
      <c r="N215" s="1302">
        <v>0</v>
      </c>
      <c r="O215" s="225">
        <v>0</v>
      </c>
      <c r="P215" s="202">
        <v>0</v>
      </c>
      <c r="Q215" s="225">
        <v>7000</v>
      </c>
      <c r="R215" s="1268">
        <v>7000</v>
      </c>
      <c r="S215" s="1269">
        <v>0</v>
      </c>
      <c r="T215" s="1268">
        <f t="shared" si="16"/>
        <v>7000</v>
      </c>
      <c r="U215" s="850">
        <v>4000</v>
      </c>
      <c r="V215" s="201">
        <v>3000</v>
      </c>
      <c r="W215" s="201">
        <v>0</v>
      </c>
      <c r="X215" s="17">
        <v>0</v>
      </c>
      <c r="Y215" s="17">
        <v>7000</v>
      </c>
      <c r="Z215" s="25">
        <v>0</v>
      </c>
      <c r="AA215" s="33">
        <v>0</v>
      </c>
      <c r="AB215" s="201">
        <v>0</v>
      </c>
      <c r="AC215" s="225">
        <v>900</v>
      </c>
      <c r="AD215" s="253">
        <v>0</v>
      </c>
      <c r="AE215" s="52" t="s">
        <v>484</v>
      </c>
      <c r="AF215" s="104" t="s">
        <v>43</v>
      </c>
      <c r="AG215" s="193" t="s">
        <v>1007</v>
      </c>
      <c r="AH215" s="193" t="s">
        <v>514</v>
      </c>
      <c r="AI215" s="104" t="s">
        <v>514</v>
      </c>
    </row>
    <row r="216" spans="1:35" s="388" customFormat="1" ht="38.25" x14ac:dyDescent="0.25">
      <c r="A216" s="163" t="s">
        <v>668</v>
      </c>
      <c r="B216" s="114" t="s">
        <v>348</v>
      </c>
      <c r="C216" s="66">
        <v>2018</v>
      </c>
      <c r="D216" s="68" t="s">
        <v>78</v>
      </c>
      <c r="E216" s="78" t="s">
        <v>183</v>
      </c>
      <c r="F216" s="78" t="s">
        <v>183</v>
      </c>
      <c r="G216" s="148" t="s">
        <v>185</v>
      </c>
      <c r="H216" s="21">
        <v>2284.4760000000001</v>
      </c>
      <c r="I216" s="129">
        <v>0</v>
      </c>
      <c r="J216" s="36">
        <v>712.48</v>
      </c>
      <c r="K216" s="1994">
        <v>1514.2487500000002</v>
      </c>
      <c r="L216" s="1256">
        <v>57.747250000000001</v>
      </c>
      <c r="M216" s="1256">
        <v>0</v>
      </c>
      <c r="N216" s="268">
        <v>0</v>
      </c>
      <c r="O216" s="244">
        <v>712.48</v>
      </c>
      <c r="P216" s="236">
        <f>2284.476-712.48-57.74725</f>
        <v>1514.2487500000002</v>
      </c>
      <c r="Q216" s="244">
        <v>57.747250000000001</v>
      </c>
      <c r="R216" s="1550">
        <v>2284.4760000000001</v>
      </c>
      <c r="S216" s="494">
        <v>0</v>
      </c>
      <c r="T216" s="1550">
        <f t="shared" si="16"/>
        <v>2284.4760000000001</v>
      </c>
      <c r="U216" s="269">
        <v>0</v>
      </c>
      <c r="V216" s="207">
        <v>0</v>
      </c>
      <c r="W216" s="207">
        <v>0</v>
      </c>
      <c r="X216" s="22">
        <v>0</v>
      </c>
      <c r="Y216" s="22">
        <v>0</v>
      </c>
      <c r="Z216" s="19">
        <v>0</v>
      </c>
      <c r="AA216" s="34">
        <v>0</v>
      </c>
      <c r="AB216" s="207">
        <v>0</v>
      </c>
      <c r="AC216" s="244">
        <v>0</v>
      </c>
      <c r="AD216" s="262">
        <v>0</v>
      </c>
      <c r="AE216" s="319" t="s">
        <v>484</v>
      </c>
      <c r="AF216" s="65" t="s">
        <v>535</v>
      </c>
      <c r="AG216" s="210" t="s">
        <v>472</v>
      </c>
      <c r="AH216" s="210" t="s">
        <v>514</v>
      </c>
      <c r="AI216" s="65" t="s">
        <v>513</v>
      </c>
    </row>
    <row r="217" spans="1:35" s="354" customFormat="1" ht="39" thickBot="1" x14ac:dyDescent="0.3">
      <c r="A217" s="1012" t="s">
        <v>669</v>
      </c>
      <c r="B217" s="949" t="s">
        <v>613</v>
      </c>
      <c r="C217" s="582">
        <v>2018</v>
      </c>
      <c r="D217" s="582" t="s">
        <v>545</v>
      </c>
      <c r="E217" s="582" t="s">
        <v>188</v>
      </c>
      <c r="F217" s="636" t="s">
        <v>188</v>
      </c>
      <c r="G217" s="1013" t="s">
        <v>189</v>
      </c>
      <c r="H217" s="1014">
        <v>3500</v>
      </c>
      <c r="I217" s="1014">
        <v>0</v>
      </c>
      <c r="J217" s="583">
        <v>0</v>
      </c>
      <c r="K217" s="1906">
        <v>0</v>
      </c>
      <c r="L217" s="1459">
        <v>0</v>
      </c>
      <c r="M217" s="1459">
        <v>0</v>
      </c>
      <c r="N217" s="1509">
        <v>0</v>
      </c>
      <c r="O217" s="953">
        <v>0</v>
      </c>
      <c r="P217" s="954">
        <v>0</v>
      </c>
      <c r="Q217" s="953">
        <v>136</v>
      </c>
      <c r="R217" s="1460">
        <v>605</v>
      </c>
      <c r="S217" s="1461">
        <v>-469</v>
      </c>
      <c r="T217" s="1460">
        <f t="shared" si="16"/>
        <v>136</v>
      </c>
      <c r="U217" s="955">
        <v>0</v>
      </c>
      <c r="V217" s="956">
        <v>0</v>
      </c>
      <c r="W217" s="956">
        <f>2895+469</f>
        <v>3364</v>
      </c>
      <c r="X217" s="957">
        <v>0</v>
      </c>
      <c r="Y217" s="957">
        <f>2895+469</f>
        <v>3364</v>
      </c>
      <c r="Z217" s="585">
        <v>0</v>
      </c>
      <c r="AA217" s="1664">
        <v>0</v>
      </c>
      <c r="AB217" s="1665">
        <v>0</v>
      </c>
      <c r="AC217" s="953">
        <v>0</v>
      </c>
      <c r="AD217" s="959">
        <v>0</v>
      </c>
      <c r="AE217" s="1464" t="s">
        <v>1499</v>
      </c>
      <c r="AF217" s="582" t="s">
        <v>19</v>
      </c>
      <c r="AG217" s="1015" t="s">
        <v>732</v>
      </c>
      <c r="AH217" s="1015" t="s">
        <v>513</v>
      </c>
      <c r="AI217" s="1016" t="s">
        <v>513</v>
      </c>
    </row>
    <row r="218" spans="1:35" s="354" customFormat="1" ht="38.25" x14ac:dyDescent="0.25">
      <c r="A218" s="111" t="s">
        <v>670</v>
      </c>
      <c r="B218" s="91" t="s">
        <v>494</v>
      </c>
      <c r="C218" s="53">
        <v>2019</v>
      </c>
      <c r="D218" s="5" t="s">
        <v>498</v>
      </c>
      <c r="E218" s="53" t="s">
        <v>349</v>
      </c>
      <c r="F218" s="53" t="s">
        <v>349</v>
      </c>
      <c r="G218" s="144" t="s">
        <v>350</v>
      </c>
      <c r="H218" s="397">
        <v>3000</v>
      </c>
      <c r="I218" s="154">
        <v>0</v>
      </c>
      <c r="J218" s="6">
        <v>0</v>
      </c>
      <c r="K218" s="1307">
        <v>0</v>
      </c>
      <c r="L218" s="1248">
        <v>0</v>
      </c>
      <c r="M218" s="1248">
        <v>0</v>
      </c>
      <c r="N218" s="1304">
        <v>0</v>
      </c>
      <c r="O218" s="499">
        <v>0</v>
      </c>
      <c r="P218" s="482">
        <v>0</v>
      </c>
      <c r="Q218" s="499">
        <v>0</v>
      </c>
      <c r="R218" s="1263">
        <v>0</v>
      </c>
      <c r="S218" s="1262">
        <v>0</v>
      </c>
      <c r="T218" s="1263">
        <f t="shared" si="16"/>
        <v>0</v>
      </c>
      <c r="U218" s="849">
        <v>0</v>
      </c>
      <c r="V218" s="347">
        <v>0</v>
      </c>
      <c r="W218" s="347">
        <v>0</v>
      </c>
      <c r="X218" s="2">
        <v>0</v>
      </c>
      <c r="Y218" s="837"/>
      <c r="Z218" s="400">
        <v>450</v>
      </c>
      <c r="AA218" s="51">
        <v>0</v>
      </c>
      <c r="AB218" s="267">
        <v>0</v>
      </c>
      <c r="AC218" s="499">
        <v>2550</v>
      </c>
      <c r="AD218" s="400">
        <v>0</v>
      </c>
      <c r="AE218" s="119" t="s">
        <v>484</v>
      </c>
      <c r="AF218" s="53" t="s">
        <v>19</v>
      </c>
      <c r="AG218" s="193" t="s">
        <v>542</v>
      </c>
      <c r="AH218" s="192" t="s">
        <v>513</v>
      </c>
      <c r="AI218" s="106" t="s">
        <v>513</v>
      </c>
    </row>
    <row r="219" spans="1:35" s="354" customFormat="1" ht="38.25" x14ac:dyDescent="0.25">
      <c r="A219" s="62" t="s">
        <v>671</v>
      </c>
      <c r="B219" s="85" t="s">
        <v>494</v>
      </c>
      <c r="C219" s="5">
        <v>2019</v>
      </c>
      <c r="D219" s="5" t="s">
        <v>498</v>
      </c>
      <c r="E219" s="5" t="s">
        <v>146</v>
      </c>
      <c r="F219" s="5" t="s">
        <v>146</v>
      </c>
      <c r="G219" s="428" t="s">
        <v>351</v>
      </c>
      <c r="H219" s="272">
        <v>400</v>
      </c>
      <c r="I219" s="61">
        <v>0</v>
      </c>
      <c r="J219" s="24">
        <v>0</v>
      </c>
      <c r="K219" s="412">
        <v>0</v>
      </c>
      <c r="L219" s="1252">
        <v>0</v>
      </c>
      <c r="M219" s="1252">
        <v>0</v>
      </c>
      <c r="N219" s="1302">
        <v>0</v>
      </c>
      <c r="O219" s="225">
        <v>0</v>
      </c>
      <c r="P219" s="202">
        <v>0</v>
      </c>
      <c r="Q219" s="225">
        <v>0</v>
      </c>
      <c r="R219" s="1268">
        <v>0</v>
      </c>
      <c r="S219" s="1269">
        <v>0</v>
      </c>
      <c r="T219" s="1268">
        <f t="shared" si="16"/>
        <v>0</v>
      </c>
      <c r="U219" s="850">
        <v>0</v>
      </c>
      <c r="V219" s="201">
        <v>0</v>
      </c>
      <c r="W219" s="201">
        <v>0</v>
      </c>
      <c r="X219" s="17">
        <v>0</v>
      </c>
      <c r="Y219" s="263">
        <v>0</v>
      </c>
      <c r="Z219" s="253">
        <v>400</v>
      </c>
      <c r="AA219" s="33">
        <v>0</v>
      </c>
      <c r="AB219" s="201">
        <v>0</v>
      </c>
      <c r="AC219" s="225">
        <v>0</v>
      </c>
      <c r="AD219" s="253">
        <v>0</v>
      </c>
      <c r="AE219" s="52" t="s">
        <v>484</v>
      </c>
      <c r="AF219" s="5" t="s">
        <v>19</v>
      </c>
      <c r="AG219" s="193" t="s">
        <v>542</v>
      </c>
      <c r="AH219" s="193" t="s">
        <v>513</v>
      </c>
      <c r="AI219" s="104" t="s">
        <v>513</v>
      </c>
    </row>
    <row r="220" spans="1:35" s="354" customFormat="1" ht="38.25" x14ac:dyDescent="0.25">
      <c r="A220" s="62" t="s">
        <v>672</v>
      </c>
      <c r="B220" s="85" t="s">
        <v>494</v>
      </c>
      <c r="C220" s="5">
        <v>2019</v>
      </c>
      <c r="D220" s="5" t="s">
        <v>498</v>
      </c>
      <c r="E220" s="5" t="s">
        <v>146</v>
      </c>
      <c r="F220" s="5" t="s">
        <v>146</v>
      </c>
      <c r="G220" s="417" t="s">
        <v>352</v>
      </c>
      <c r="H220" s="272">
        <v>6500</v>
      </c>
      <c r="I220" s="61">
        <v>0</v>
      </c>
      <c r="J220" s="24">
        <v>0</v>
      </c>
      <c r="K220" s="412">
        <v>0</v>
      </c>
      <c r="L220" s="1252">
        <v>0</v>
      </c>
      <c r="M220" s="1252">
        <v>0</v>
      </c>
      <c r="N220" s="1302">
        <v>0</v>
      </c>
      <c r="O220" s="225">
        <v>0</v>
      </c>
      <c r="P220" s="202">
        <v>0</v>
      </c>
      <c r="Q220" s="225">
        <v>0</v>
      </c>
      <c r="R220" s="1268">
        <v>0</v>
      </c>
      <c r="S220" s="1269">
        <v>0</v>
      </c>
      <c r="T220" s="1268">
        <f t="shared" si="16"/>
        <v>0</v>
      </c>
      <c r="U220" s="850">
        <v>0</v>
      </c>
      <c r="V220" s="201">
        <v>0</v>
      </c>
      <c r="W220" s="201">
        <v>0</v>
      </c>
      <c r="X220" s="17">
        <v>0</v>
      </c>
      <c r="Y220" s="263">
        <v>0</v>
      </c>
      <c r="Z220" s="253">
        <v>6500</v>
      </c>
      <c r="AA220" s="33">
        <v>0</v>
      </c>
      <c r="AB220" s="201">
        <v>0</v>
      </c>
      <c r="AC220" s="225">
        <v>0</v>
      </c>
      <c r="AD220" s="253">
        <v>0</v>
      </c>
      <c r="AE220" s="52" t="s">
        <v>484</v>
      </c>
      <c r="AF220" s="5" t="s">
        <v>19</v>
      </c>
      <c r="AG220" s="193" t="s">
        <v>542</v>
      </c>
      <c r="AH220" s="193" t="s">
        <v>513</v>
      </c>
      <c r="AI220" s="104" t="s">
        <v>513</v>
      </c>
    </row>
    <row r="221" spans="1:35" s="388" customFormat="1" ht="25.5" x14ac:dyDescent="0.25">
      <c r="A221" s="127" t="s">
        <v>673</v>
      </c>
      <c r="B221" s="114" t="s">
        <v>1146</v>
      </c>
      <c r="C221" s="66">
        <v>2019</v>
      </c>
      <c r="D221" s="66" t="s">
        <v>498</v>
      </c>
      <c r="E221" s="66" t="s">
        <v>187</v>
      </c>
      <c r="F221" s="66" t="s">
        <v>187</v>
      </c>
      <c r="G221" s="145" t="s">
        <v>353</v>
      </c>
      <c r="H221" s="486">
        <v>277.08999999999997</v>
      </c>
      <c r="I221" s="129">
        <v>0</v>
      </c>
      <c r="J221" s="36">
        <v>0</v>
      </c>
      <c r="K221" s="1994">
        <v>277.08999999999997</v>
      </c>
      <c r="L221" s="1256">
        <v>0</v>
      </c>
      <c r="M221" s="1256">
        <v>0</v>
      </c>
      <c r="N221" s="268">
        <v>0</v>
      </c>
      <c r="O221" s="244">
        <v>0</v>
      </c>
      <c r="P221" s="236">
        <v>277.08999999999997</v>
      </c>
      <c r="Q221" s="244">
        <v>0</v>
      </c>
      <c r="R221" s="1550">
        <v>277.08999999999997</v>
      </c>
      <c r="S221" s="494">
        <v>0</v>
      </c>
      <c r="T221" s="1550">
        <f t="shared" si="16"/>
        <v>277.08999999999997</v>
      </c>
      <c r="U221" s="269">
        <v>0</v>
      </c>
      <c r="V221" s="207">
        <v>0</v>
      </c>
      <c r="W221" s="207">
        <v>0</v>
      </c>
      <c r="X221" s="22">
        <v>0</v>
      </c>
      <c r="Y221" s="264">
        <v>0</v>
      </c>
      <c r="Z221" s="262">
        <v>0</v>
      </c>
      <c r="AA221" s="34">
        <v>0</v>
      </c>
      <c r="AB221" s="207">
        <v>0</v>
      </c>
      <c r="AC221" s="244">
        <v>0</v>
      </c>
      <c r="AD221" s="262">
        <v>0</v>
      </c>
      <c r="AE221" s="113" t="s">
        <v>484</v>
      </c>
      <c r="AF221" s="66" t="s">
        <v>535</v>
      </c>
      <c r="AG221" s="210" t="s">
        <v>472</v>
      </c>
      <c r="AH221" s="210" t="s">
        <v>514</v>
      </c>
      <c r="AI221" s="65" t="s">
        <v>514</v>
      </c>
    </row>
    <row r="222" spans="1:35" s="388" customFormat="1" ht="25.5" x14ac:dyDescent="0.25">
      <c r="A222" s="127" t="s">
        <v>674</v>
      </c>
      <c r="B222" s="114" t="s">
        <v>1147</v>
      </c>
      <c r="C222" s="66">
        <v>2019</v>
      </c>
      <c r="D222" s="66" t="s">
        <v>498</v>
      </c>
      <c r="E222" s="66" t="s">
        <v>187</v>
      </c>
      <c r="F222" s="66" t="s">
        <v>187</v>
      </c>
      <c r="G222" s="145" t="s">
        <v>354</v>
      </c>
      <c r="H222" s="486">
        <v>404.9991</v>
      </c>
      <c r="I222" s="129">
        <v>0</v>
      </c>
      <c r="J222" s="36">
        <v>0</v>
      </c>
      <c r="K222" s="1994">
        <v>404.9991</v>
      </c>
      <c r="L222" s="1256">
        <v>0</v>
      </c>
      <c r="M222" s="1256">
        <v>0</v>
      </c>
      <c r="N222" s="268">
        <v>0</v>
      </c>
      <c r="O222" s="244">
        <v>0</v>
      </c>
      <c r="P222" s="236">
        <v>404.9991</v>
      </c>
      <c r="Q222" s="244">
        <v>0</v>
      </c>
      <c r="R222" s="1550">
        <v>404.9991</v>
      </c>
      <c r="S222" s="494">
        <v>0</v>
      </c>
      <c r="T222" s="1550">
        <f t="shared" si="16"/>
        <v>404.9991</v>
      </c>
      <c r="U222" s="269">
        <v>0</v>
      </c>
      <c r="V222" s="207">
        <v>0</v>
      </c>
      <c r="W222" s="207">
        <v>0</v>
      </c>
      <c r="X222" s="22">
        <v>0</v>
      </c>
      <c r="Y222" s="264">
        <v>0</v>
      </c>
      <c r="Z222" s="262">
        <v>0</v>
      </c>
      <c r="AA222" s="34">
        <v>0</v>
      </c>
      <c r="AB222" s="207">
        <v>0</v>
      </c>
      <c r="AC222" s="244">
        <v>0</v>
      </c>
      <c r="AD222" s="262">
        <v>0</v>
      </c>
      <c r="AE222" s="113" t="s">
        <v>484</v>
      </c>
      <c r="AF222" s="66" t="s">
        <v>535</v>
      </c>
      <c r="AG222" s="210" t="s">
        <v>540</v>
      </c>
      <c r="AH222" s="210" t="s">
        <v>514</v>
      </c>
      <c r="AI222" s="65" t="s">
        <v>514</v>
      </c>
    </row>
    <row r="223" spans="1:35" s="354" customFormat="1" ht="25.5" x14ac:dyDescent="0.25">
      <c r="A223" s="62" t="s">
        <v>675</v>
      </c>
      <c r="B223" s="85" t="s">
        <v>614</v>
      </c>
      <c r="C223" s="5">
        <v>2019</v>
      </c>
      <c r="D223" s="5" t="s">
        <v>498</v>
      </c>
      <c r="E223" s="5" t="s">
        <v>187</v>
      </c>
      <c r="F223" s="5" t="s">
        <v>187</v>
      </c>
      <c r="G223" s="417" t="s">
        <v>492</v>
      </c>
      <c r="H223" s="398">
        <v>5950.1060299999999</v>
      </c>
      <c r="I223" s="61">
        <v>3093.9306099999999</v>
      </c>
      <c r="J223" s="16">
        <v>0</v>
      </c>
      <c r="K223" s="412">
        <v>1186.3072299999999</v>
      </c>
      <c r="L223" s="782">
        <v>0</v>
      </c>
      <c r="M223" s="782">
        <v>0</v>
      </c>
      <c r="N223" s="1302">
        <f>1130.673945-1130.673945</f>
        <v>0</v>
      </c>
      <c r="O223" s="225">
        <v>0</v>
      </c>
      <c r="P223" s="202">
        <f>1186.30723</f>
        <v>1186.3072299999999</v>
      </c>
      <c r="Q223" s="225">
        <v>1669.8681899999999</v>
      </c>
      <c r="R223" s="1268">
        <v>2856.1754200000005</v>
      </c>
      <c r="S223" s="1269">
        <v>0</v>
      </c>
      <c r="T223" s="1268">
        <f t="shared" si="16"/>
        <v>2856.1754200000005</v>
      </c>
      <c r="U223" s="850">
        <v>0</v>
      </c>
      <c r="V223" s="201">
        <v>0</v>
      </c>
      <c r="W223" s="201">
        <v>0</v>
      </c>
      <c r="X223" s="17">
        <v>0</v>
      </c>
      <c r="Y223" s="263">
        <v>0</v>
      </c>
      <c r="Z223" s="253">
        <v>0</v>
      </c>
      <c r="AA223" s="33">
        <v>0</v>
      </c>
      <c r="AB223" s="201">
        <v>0</v>
      </c>
      <c r="AC223" s="225">
        <v>0</v>
      </c>
      <c r="AD223" s="253">
        <v>0</v>
      </c>
      <c r="AE223" s="52" t="s">
        <v>484</v>
      </c>
      <c r="AF223" s="5" t="s">
        <v>43</v>
      </c>
      <c r="AG223" s="1657" t="s">
        <v>732</v>
      </c>
      <c r="AH223" s="193" t="s">
        <v>514</v>
      </c>
      <c r="AI223" s="104" t="s">
        <v>514</v>
      </c>
    </row>
    <row r="224" spans="1:35" s="354" customFormat="1" ht="38.25" x14ac:dyDescent="0.25">
      <c r="A224" s="62" t="s">
        <v>676</v>
      </c>
      <c r="B224" s="85" t="s">
        <v>494</v>
      </c>
      <c r="C224" s="5">
        <v>2019</v>
      </c>
      <c r="D224" s="5" t="s">
        <v>498</v>
      </c>
      <c r="E224" s="5" t="s">
        <v>341</v>
      </c>
      <c r="F224" s="5" t="s">
        <v>341</v>
      </c>
      <c r="G224" s="417" t="s">
        <v>355</v>
      </c>
      <c r="H224" s="398">
        <v>370</v>
      </c>
      <c r="I224" s="61">
        <v>0</v>
      </c>
      <c r="J224" s="24">
        <v>0</v>
      </c>
      <c r="K224" s="412">
        <v>0</v>
      </c>
      <c r="L224" s="1252">
        <v>0</v>
      </c>
      <c r="M224" s="1252">
        <v>0</v>
      </c>
      <c r="N224" s="1302">
        <v>0</v>
      </c>
      <c r="O224" s="225">
        <v>0</v>
      </c>
      <c r="P224" s="202">
        <v>0</v>
      </c>
      <c r="Q224" s="225">
        <v>0</v>
      </c>
      <c r="R224" s="1268">
        <v>0</v>
      </c>
      <c r="S224" s="1269">
        <v>0</v>
      </c>
      <c r="T224" s="1268">
        <f t="shared" si="16"/>
        <v>0</v>
      </c>
      <c r="U224" s="850">
        <v>0</v>
      </c>
      <c r="V224" s="201">
        <v>0</v>
      </c>
      <c r="W224" s="201">
        <v>0</v>
      </c>
      <c r="X224" s="17">
        <v>0</v>
      </c>
      <c r="Y224" s="263">
        <v>0</v>
      </c>
      <c r="Z224" s="263">
        <v>220</v>
      </c>
      <c r="AA224" s="33">
        <v>0</v>
      </c>
      <c r="AB224" s="201">
        <v>0</v>
      </c>
      <c r="AC224" s="225">
        <v>150</v>
      </c>
      <c r="AD224" s="253">
        <v>0</v>
      </c>
      <c r="AE224" s="52" t="s">
        <v>484</v>
      </c>
      <c r="AF224" s="5" t="s">
        <v>19</v>
      </c>
      <c r="AG224" s="193" t="s">
        <v>542</v>
      </c>
      <c r="AH224" s="193" t="s">
        <v>513</v>
      </c>
      <c r="AI224" s="104" t="s">
        <v>513</v>
      </c>
    </row>
    <row r="225" spans="1:35" s="385" customFormat="1" ht="30" x14ac:dyDescent="0.25">
      <c r="A225" s="127" t="s">
        <v>677</v>
      </c>
      <c r="B225" s="114" t="s">
        <v>985</v>
      </c>
      <c r="C225" s="66">
        <v>2019</v>
      </c>
      <c r="D225" s="66" t="s">
        <v>498</v>
      </c>
      <c r="E225" s="66" t="s">
        <v>341</v>
      </c>
      <c r="F225" s="66" t="s">
        <v>341</v>
      </c>
      <c r="G225" s="145" t="s">
        <v>356</v>
      </c>
      <c r="H225" s="486">
        <v>790.54399999999998</v>
      </c>
      <c r="I225" s="129">
        <v>0</v>
      </c>
      <c r="J225" s="21">
        <v>790.54399999999998</v>
      </c>
      <c r="K225" s="1994">
        <v>0</v>
      </c>
      <c r="L225" s="166">
        <v>0</v>
      </c>
      <c r="M225" s="166">
        <v>0</v>
      </c>
      <c r="N225" s="268">
        <v>790.54399999999998</v>
      </c>
      <c r="O225" s="244">
        <v>0</v>
      </c>
      <c r="P225" s="236">
        <v>0</v>
      </c>
      <c r="Q225" s="244">
        <v>0</v>
      </c>
      <c r="R225" s="1550">
        <v>790.54399999999998</v>
      </c>
      <c r="S225" s="494">
        <v>0</v>
      </c>
      <c r="T225" s="1550">
        <f t="shared" si="16"/>
        <v>790.54399999999998</v>
      </c>
      <c r="U225" s="269">
        <v>0</v>
      </c>
      <c r="V225" s="207">
        <v>0</v>
      </c>
      <c r="W225" s="207">
        <v>0</v>
      </c>
      <c r="X225" s="22">
        <v>0</v>
      </c>
      <c r="Y225" s="264">
        <v>0</v>
      </c>
      <c r="Z225" s="262">
        <v>0</v>
      </c>
      <c r="AA225" s="34">
        <v>0</v>
      </c>
      <c r="AB225" s="207">
        <v>0</v>
      </c>
      <c r="AC225" s="244">
        <v>0</v>
      </c>
      <c r="AD225" s="262">
        <v>0</v>
      </c>
      <c r="AE225" s="113" t="s">
        <v>484</v>
      </c>
      <c r="AF225" s="66" t="s">
        <v>535</v>
      </c>
      <c r="AG225" s="210" t="s">
        <v>529</v>
      </c>
      <c r="AH225" s="210" t="s">
        <v>514</v>
      </c>
      <c r="AI225" s="65" t="s">
        <v>514</v>
      </c>
    </row>
    <row r="226" spans="1:35" s="354" customFormat="1" ht="38.25" x14ac:dyDescent="0.25">
      <c r="A226" s="62" t="s">
        <v>678</v>
      </c>
      <c r="B226" s="85" t="s">
        <v>494</v>
      </c>
      <c r="C226" s="5">
        <v>2019</v>
      </c>
      <c r="D226" s="5" t="s">
        <v>498</v>
      </c>
      <c r="E226" s="5" t="s">
        <v>357</v>
      </c>
      <c r="F226" s="5" t="s">
        <v>357</v>
      </c>
      <c r="G226" s="417" t="s">
        <v>439</v>
      </c>
      <c r="H226" s="398">
        <v>600</v>
      </c>
      <c r="I226" s="61">
        <v>0</v>
      </c>
      <c r="J226" s="24">
        <v>0</v>
      </c>
      <c r="K226" s="412">
        <v>0</v>
      </c>
      <c r="L226" s="1252">
        <v>0</v>
      </c>
      <c r="M226" s="1252">
        <v>0</v>
      </c>
      <c r="N226" s="1302">
        <v>0</v>
      </c>
      <c r="O226" s="225">
        <v>0</v>
      </c>
      <c r="P226" s="202">
        <v>0</v>
      </c>
      <c r="Q226" s="225">
        <v>0</v>
      </c>
      <c r="R226" s="1268">
        <v>0</v>
      </c>
      <c r="S226" s="1269">
        <v>0</v>
      </c>
      <c r="T226" s="1268">
        <f t="shared" si="16"/>
        <v>0</v>
      </c>
      <c r="U226" s="850">
        <v>0</v>
      </c>
      <c r="V226" s="201">
        <v>0</v>
      </c>
      <c r="W226" s="201">
        <v>0</v>
      </c>
      <c r="X226" s="17">
        <v>0</v>
      </c>
      <c r="Y226" s="263">
        <v>0</v>
      </c>
      <c r="Z226" s="263">
        <v>300</v>
      </c>
      <c r="AA226" s="33">
        <v>0</v>
      </c>
      <c r="AB226" s="201">
        <v>0</v>
      </c>
      <c r="AC226" s="225">
        <v>300</v>
      </c>
      <c r="AD226" s="253">
        <v>0</v>
      </c>
      <c r="AE226" s="52" t="s">
        <v>484</v>
      </c>
      <c r="AF226" s="5" t="s">
        <v>19</v>
      </c>
      <c r="AG226" s="193" t="s">
        <v>542</v>
      </c>
      <c r="AH226" s="193" t="s">
        <v>513</v>
      </c>
      <c r="AI226" s="104" t="s">
        <v>513</v>
      </c>
    </row>
    <row r="227" spans="1:35" s="354" customFormat="1" ht="38.25" x14ac:dyDescent="0.25">
      <c r="A227" s="62" t="s">
        <v>679</v>
      </c>
      <c r="B227" s="85" t="s">
        <v>494</v>
      </c>
      <c r="C227" s="5">
        <v>2019</v>
      </c>
      <c r="D227" s="5" t="s">
        <v>498</v>
      </c>
      <c r="E227" s="5" t="s">
        <v>358</v>
      </c>
      <c r="F227" s="5" t="s">
        <v>358</v>
      </c>
      <c r="G227" s="417" t="s">
        <v>359</v>
      </c>
      <c r="H227" s="398">
        <v>800</v>
      </c>
      <c r="I227" s="61">
        <v>0</v>
      </c>
      <c r="J227" s="24">
        <v>0</v>
      </c>
      <c r="K227" s="412">
        <v>0</v>
      </c>
      <c r="L227" s="1252">
        <v>0</v>
      </c>
      <c r="M227" s="1252">
        <v>0</v>
      </c>
      <c r="N227" s="1302">
        <v>0</v>
      </c>
      <c r="O227" s="225">
        <v>0</v>
      </c>
      <c r="P227" s="202">
        <v>0</v>
      </c>
      <c r="Q227" s="225">
        <v>0</v>
      </c>
      <c r="R227" s="1268">
        <v>0</v>
      </c>
      <c r="S227" s="1269">
        <v>0</v>
      </c>
      <c r="T227" s="1268">
        <f t="shared" si="16"/>
        <v>0</v>
      </c>
      <c r="U227" s="850">
        <v>0</v>
      </c>
      <c r="V227" s="201">
        <v>0</v>
      </c>
      <c r="W227" s="201">
        <v>0</v>
      </c>
      <c r="X227" s="17">
        <v>0</v>
      </c>
      <c r="Y227" s="263">
        <v>0</v>
      </c>
      <c r="Z227" s="263">
        <v>800</v>
      </c>
      <c r="AA227" s="33">
        <v>0</v>
      </c>
      <c r="AB227" s="201">
        <v>0</v>
      </c>
      <c r="AC227" s="225">
        <v>0</v>
      </c>
      <c r="AD227" s="253">
        <v>0</v>
      </c>
      <c r="AE227" s="52" t="s">
        <v>484</v>
      </c>
      <c r="AF227" s="5" t="s">
        <v>19</v>
      </c>
      <c r="AG227" s="193" t="s">
        <v>542</v>
      </c>
      <c r="AH227" s="193" t="s">
        <v>513</v>
      </c>
      <c r="AI227" s="104" t="s">
        <v>513</v>
      </c>
    </row>
    <row r="228" spans="1:35" s="354" customFormat="1" ht="25.5" x14ac:dyDescent="0.25">
      <c r="A228" s="62" t="s">
        <v>680</v>
      </c>
      <c r="B228" s="85" t="s">
        <v>494</v>
      </c>
      <c r="C228" s="5">
        <v>2019</v>
      </c>
      <c r="D228" s="5" t="s">
        <v>498</v>
      </c>
      <c r="E228" s="5" t="s">
        <v>360</v>
      </c>
      <c r="F228" s="5" t="s">
        <v>360</v>
      </c>
      <c r="G228" s="417" t="s">
        <v>361</v>
      </c>
      <c r="H228" s="398">
        <v>1400</v>
      </c>
      <c r="I228" s="61">
        <v>0</v>
      </c>
      <c r="J228" s="24">
        <v>0</v>
      </c>
      <c r="K228" s="412">
        <v>0</v>
      </c>
      <c r="L228" s="1252">
        <v>0</v>
      </c>
      <c r="M228" s="1252">
        <v>0</v>
      </c>
      <c r="N228" s="1302">
        <v>0</v>
      </c>
      <c r="O228" s="225">
        <v>0</v>
      </c>
      <c r="P228" s="202">
        <v>0</v>
      </c>
      <c r="Q228" s="225">
        <v>0</v>
      </c>
      <c r="R228" s="1268">
        <v>0</v>
      </c>
      <c r="S228" s="1269">
        <v>0</v>
      </c>
      <c r="T228" s="1268">
        <f t="shared" si="16"/>
        <v>0</v>
      </c>
      <c r="U228" s="850">
        <v>0</v>
      </c>
      <c r="V228" s="201">
        <v>0</v>
      </c>
      <c r="W228" s="201">
        <v>1400</v>
      </c>
      <c r="X228" s="17">
        <v>0</v>
      </c>
      <c r="Y228" s="263">
        <v>1400</v>
      </c>
      <c r="Z228" s="253">
        <v>0</v>
      </c>
      <c r="AA228" s="33">
        <v>0</v>
      </c>
      <c r="AB228" s="201">
        <v>0</v>
      </c>
      <c r="AC228" s="225">
        <v>0</v>
      </c>
      <c r="AD228" s="253">
        <v>0</v>
      </c>
      <c r="AE228" s="52" t="s">
        <v>484</v>
      </c>
      <c r="AF228" s="5" t="s">
        <v>19</v>
      </c>
      <c r="AG228" s="193" t="s">
        <v>1008</v>
      </c>
      <c r="AH228" s="193" t="s">
        <v>513</v>
      </c>
      <c r="AI228" s="104" t="s">
        <v>513</v>
      </c>
    </row>
    <row r="229" spans="1:35" s="354" customFormat="1" ht="38.25" x14ac:dyDescent="0.25">
      <c r="A229" s="62" t="s">
        <v>681</v>
      </c>
      <c r="B229" s="85" t="s">
        <v>494</v>
      </c>
      <c r="C229" s="5">
        <v>2019</v>
      </c>
      <c r="D229" s="5" t="s">
        <v>498</v>
      </c>
      <c r="E229" s="5" t="s">
        <v>362</v>
      </c>
      <c r="F229" s="5" t="s">
        <v>362</v>
      </c>
      <c r="G229" s="417" t="s">
        <v>363</v>
      </c>
      <c r="H229" s="398">
        <v>600</v>
      </c>
      <c r="I229" s="61">
        <v>0</v>
      </c>
      <c r="J229" s="24">
        <v>0</v>
      </c>
      <c r="K229" s="412">
        <v>0</v>
      </c>
      <c r="L229" s="1252">
        <v>0</v>
      </c>
      <c r="M229" s="1252">
        <v>0</v>
      </c>
      <c r="N229" s="1302">
        <v>0</v>
      </c>
      <c r="O229" s="225">
        <v>0</v>
      </c>
      <c r="P229" s="202">
        <v>0</v>
      </c>
      <c r="Q229" s="225">
        <v>0</v>
      </c>
      <c r="R229" s="1268">
        <v>0</v>
      </c>
      <c r="S229" s="1269">
        <v>0</v>
      </c>
      <c r="T229" s="1268">
        <f t="shared" si="16"/>
        <v>0</v>
      </c>
      <c r="U229" s="850">
        <v>0</v>
      </c>
      <c r="V229" s="201">
        <v>0</v>
      </c>
      <c r="W229" s="201">
        <v>350</v>
      </c>
      <c r="X229" s="17">
        <v>0</v>
      </c>
      <c r="Y229" s="263">
        <v>350</v>
      </c>
      <c r="Z229" s="253">
        <v>0</v>
      </c>
      <c r="AA229" s="33">
        <v>0</v>
      </c>
      <c r="AB229" s="201">
        <v>0</v>
      </c>
      <c r="AC229" s="225">
        <v>250</v>
      </c>
      <c r="AD229" s="253">
        <v>0</v>
      </c>
      <c r="AE229" s="52" t="s">
        <v>484</v>
      </c>
      <c r="AF229" s="5" t="s">
        <v>19</v>
      </c>
      <c r="AG229" s="193" t="s">
        <v>616</v>
      </c>
      <c r="AH229" s="193" t="s">
        <v>513</v>
      </c>
      <c r="AI229" s="104" t="s">
        <v>513</v>
      </c>
    </row>
    <row r="230" spans="1:35" s="354" customFormat="1" ht="25.5" x14ac:dyDescent="0.25">
      <c r="A230" s="62" t="s">
        <v>682</v>
      </c>
      <c r="B230" s="85" t="s">
        <v>494</v>
      </c>
      <c r="C230" s="5">
        <v>2019</v>
      </c>
      <c r="D230" s="5" t="s">
        <v>498</v>
      </c>
      <c r="E230" s="5" t="s">
        <v>11</v>
      </c>
      <c r="F230" s="5" t="s">
        <v>366</v>
      </c>
      <c r="G230" s="417" t="s">
        <v>367</v>
      </c>
      <c r="H230" s="398">
        <v>17000</v>
      </c>
      <c r="I230" s="61">
        <v>0</v>
      </c>
      <c r="J230" s="24">
        <v>0</v>
      </c>
      <c r="K230" s="412">
        <v>0</v>
      </c>
      <c r="L230" s="1252">
        <v>0</v>
      </c>
      <c r="M230" s="1252">
        <v>0</v>
      </c>
      <c r="N230" s="1302">
        <v>0</v>
      </c>
      <c r="O230" s="225">
        <v>0</v>
      </c>
      <c r="P230" s="202">
        <v>0</v>
      </c>
      <c r="Q230" s="225">
        <v>0</v>
      </c>
      <c r="R230" s="1268">
        <v>0</v>
      </c>
      <c r="S230" s="1269">
        <v>0</v>
      </c>
      <c r="T230" s="1268">
        <f t="shared" si="16"/>
        <v>0</v>
      </c>
      <c r="U230" s="850">
        <v>0</v>
      </c>
      <c r="V230" s="201">
        <v>0</v>
      </c>
      <c r="W230" s="201">
        <v>0</v>
      </c>
      <c r="X230" s="17">
        <v>0</v>
      </c>
      <c r="Y230" s="263">
        <v>0</v>
      </c>
      <c r="Z230" s="253">
        <v>17000</v>
      </c>
      <c r="AA230" s="33">
        <v>0</v>
      </c>
      <c r="AB230" s="201">
        <v>0</v>
      </c>
      <c r="AC230" s="225">
        <v>0</v>
      </c>
      <c r="AD230" s="253">
        <v>0</v>
      </c>
      <c r="AE230" s="52" t="s">
        <v>484</v>
      </c>
      <c r="AF230" s="5" t="s">
        <v>19</v>
      </c>
      <c r="AG230" s="193" t="s">
        <v>610</v>
      </c>
      <c r="AH230" s="193" t="s">
        <v>513</v>
      </c>
      <c r="AI230" s="104" t="s">
        <v>513</v>
      </c>
    </row>
    <row r="231" spans="1:35" s="354" customFormat="1" ht="38.25" x14ac:dyDescent="0.25">
      <c r="A231" s="62" t="s">
        <v>683</v>
      </c>
      <c r="B231" s="85" t="s">
        <v>494</v>
      </c>
      <c r="C231" s="5">
        <v>2019</v>
      </c>
      <c r="D231" s="5" t="s">
        <v>498</v>
      </c>
      <c r="E231" s="5" t="s">
        <v>11</v>
      </c>
      <c r="F231" s="5" t="s">
        <v>340</v>
      </c>
      <c r="G231" s="417" t="s">
        <v>368</v>
      </c>
      <c r="H231" s="398">
        <v>12100</v>
      </c>
      <c r="I231" s="61">
        <v>0</v>
      </c>
      <c r="J231" s="24">
        <v>0</v>
      </c>
      <c r="K231" s="412">
        <v>0</v>
      </c>
      <c r="L231" s="1252">
        <v>0</v>
      </c>
      <c r="M231" s="1252">
        <v>0</v>
      </c>
      <c r="N231" s="1302">
        <v>0</v>
      </c>
      <c r="O231" s="225">
        <v>0</v>
      </c>
      <c r="P231" s="202">
        <v>0</v>
      </c>
      <c r="Q231" s="225">
        <v>0</v>
      </c>
      <c r="R231" s="1268">
        <v>0</v>
      </c>
      <c r="S231" s="1269">
        <v>0</v>
      </c>
      <c r="T231" s="1268">
        <f t="shared" si="16"/>
        <v>0</v>
      </c>
      <c r="U231" s="850">
        <v>0</v>
      </c>
      <c r="V231" s="201">
        <v>0</v>
      </c>
      <c r="W231" s="201">
        <v>0</v>
      </c>
      <c r="X231" s="17">
        <v>0</v>
      </c>
      <c r="Y231" s="263">
        <v>0</v>
      </c>
      <c r="Z231" s="263">
        <v>12100</v>
      </c>
      <c r="AA231" s="33">
        <v>0</v>
      </c>
      <c r="AB231" s="201">
        <v>0</v>
      </c>
      <c r="AC231" s="225">
        <v>0</v>
      </c>
      <c r="AD231" s="253">
        <v>0</v>
      </c>
      <c r="AE231" s="52" t="s">
        <v>484</v>
      </c>
      <c r="AF231" s="5" t="s">
        <v>19</v>
      </c>
      <c r="AG231" s="193" t="s">
        <v>610</v>
      </c>
      <c r="AH231" s="193" t="s">
        <v>513</v>
      </c>
      <c r="AI231" s="104" t="s">
        <v>513</v>
      </c>
    </row>
    <row r="232" spans="1:35" s="388" customFormat="1" ht="38.25" x14ac:dyDescent="0.25">
      <c r="A232" s="529" t="s">
        <v>684</v>
      </c>
      <c r="B232" s="434" t="s">
        <v>1047</v>
      </c>
      <c r="C232" s="382">
        <v>2019</v>
      </c>
      <c r="D232" s="382" t="s">
        <v>498</v>
      </c>
      <c r="E232" s="382" t="s">
        <v>369</v>
      </c>
      <c r="F232" s="382" t="s">
        <v>369</v>
      </c>
      <c r="G232" s="626" t="s">
        <v>370</v>
      </c>
      <c r="H232" s="698">
        <v>1842.59151</v>
      </c>
      <c r="I232" s="314">
        <v>0</v>
      </c>
      <c r="J232" s="436">
        <v>44.5</v>
      </c>
      <c r="K232" s="1994">
        <v>1798.0915100000002</v>
      </c>
      <c r="L232" s="1542">
        <v>0</v>
      </c>
      <c r="M232" s="1542">
        <v>0</v>
      </c>
      <c r="N232" s="465">
        <f>200-200</f>
        <v>0</v>
      </c>
      <c r="O232" s="664">
        <v>44.5</v>
      </c>
      <c r="P232" s="665">
        <v>1798.09151</v>
      </c>
      <c r="Q232" s="664">
        <v>0</v>
      </c>
      <c r="R232" s="1543">
        <v>2500</v>
      </c>
      <c r="S232" s="737">
        <v>-657.40849000000003</v>
      </c>
      <c r="T232" s="1543">
        <f t="shared" si="16"/>
        <v>1842.59151</v>
      </c>
      <c r="U232" s="1658">
        <v>0</v>
      </c>
      <c r="V232" s="1659">
        <v>0</v>
      </c>
      <c r="W232" s="1659">
        <v>0</v>
      </c>
      <c r="X232" s="458">
        <v>0</v>
      </c>
      <c r="Y232" s="1667">
        <v>0</v>
      </c>
      <c r="Z232" s="663">
        <v>0</v>
      </c>
      <c r="AA232" s="1668">
        <v>0</v>
      </c>
      <c r="AB232" s="1659">
        <v>0</v>
      </c>
      <c r="AC232" s="664">
        <v>0</v>
      </c>
      <c r="AD232" s="663">
        <v>0</v>
      </c>
      <c r="AE232" s="356" t="s">
        <v>1387</v>
      </c>
      <c r="AF232" s="457" t="s">
        <v>535</v>
      </c>
      <c r="AG232" s="461" t="s">
        <v>540</v>
      </c>
      <c r="AH232" s="461" t="s">
        <v>514</v>
      </c>
      <c r="AI232" s="460" t="s">
        <v>514</v>
      </c>
    </row>
    <row r="233" spans="1:35" s="391" customFormat="1" ht="25.5" x14ac:dyDescent="0.25">
      <c r="A233" s="62" t="s">
        <v>685</v>
      </c>
      <c r="B233" s="85" t="s">
        <v>1048</v>
      </c>
      <c r="C233" s="5">
        <v>2019</v>
      </c>
      <c r="D233" s="5" t="s">
        <v>498</v>
      </c>
      <c r="E233" s="5" t="s">
        <v>371</v>
      </c>
      <c r="F233" s="5" t="s">
        <v>371</v>
      </c>
      <c r="G233" s="417" t="s">
        <v>372</v>
      </c>
      <c r="H233" s="398">
        <v>900</v>
      </c>
      <c r="I233" s="61">
        <v>0</v>
      </c>
      <c r="J233" s="24">
        <v>0</v>
      </c>
      <c r="K233" s="412">
        <v>0</v>
      </c>
      <c r="L233" s="1252">
        <v>0</v>
      </c>
      <c r="M233" s="1252">
        <v>0</v>
      </c>
      <c r="N233" s="1302">
        <v>0</v>
      </c>
      <c r="O233" s="225">
        <v>0</v>
      </c>
      <c r="P233" s="202">
        <v>0</v>
      </c>
      <c r="Q233" s="225">
        <v>900</v>
      </c>
      <c r="R233" s="1268">
        <v>900</v>
      </c>
      <c r="S233" s="1269">
        <v>0</v>
      </c>
      <c r="T233" s="1268">
        <f t="shared" si="16"/>
        <v>900</v>
      </c>
      <c r="U233" s="850">
        <v>0</v>
      </c>
      <c r="V233" s="201">
        <v>0</v>
      </c>
      <c r="W233" s="201">
        <v>0</v>
      </c>
      <c r="X233" s="17">
        <v>0</v>
      </c>
      <c r="Y233" s="263">
        <v>0</v>
      </c>
      <c r="Z233" s="253">
        <v>0</v>
      </c>
      <c r="AA233" s="33">
        <v>0</v>
      </c>
      <c r="AB233" s="201">
        <v>0</v>
      </c>
      <c r="AC233" s="225">
        <v>0</v>
      </c>
      <c r="AD233" s="253">
        <v>0</v>
      </c>
      <c r="AE233" s="52" t="s">
        <v>484</v>
      </c>
      <c r="AF233" s="5" t="s">
        <v>13</v>
      </c>
      <c r="AG233" s="193" t="s">
        <v>732</v>
      </c>
      <c r="AH233" s="193" t="s">
        <v>513</v>
      </c>
      <c r="AI233" s="104" t="s">
        <v>513</v>
      </c>
    </row>
    <row r="234" spans="1:35" s="354" customFormat="1" ht="25.5" x14ac:dyDescent="0.25">
      <c r="A234" s="62" t="s">
        <v>686</v>
      </c>
      <c r="B234" s="85" t="s">
        <v>494</v>
      </c>
      <c r="C234" s="5">
        <v>2019</v>
      </c>
      <c r="D234" s="5" t="s">
        <v>498</v>
      </c>
      <c r="E234" s="5" t="s">
        <v>342</v>
      </c>
      <c r="F234" s="5" t="s">
        <v>342</v>
      </c>
      <c r="G234" s="417" t="s">
        <v>373</v>
      </c>
      <c r="H234" s="398">
        <v>3950</v>
      </c>
      <c r="I234" s="61">
        <v>0</v>
      </c>
      <c r="J234" s="24">
        <v>0</v>
      </c>
      <c r="K234" s="412">
        <v>0</v>
      </c>
      <c r="L234" s="1252">
        <v>0</v>
      </c>
      <c r="M234" s="1252">
        <v>0</v>
      </c>
      <c r="N234" s="1302">
        <v>0</v>
      </c>
      <c r="O234" s="225">
        <v>0</v>
      </c>
      <c r="P234" s="202">
        <v>0</v>
      </c>
      <c r="Q234" s="225">
        <v>0</v>
      </c>
      <c r="R234" s="1268">
        <v>0</v>
      </c>
      <c r="S234" s="1269">
        <v>0</v>
      </c>
      <c r="T234" s="1268">
        <f t="shared" si="16"/>
        <v>0</v>
      </c>
      <c r="U234" s="850">
        <v>0</v>
      </c>
      <c r="V234" s="201">
        <v>0</v>
      </c>
      <c r="W234" s="201">
        <v>3950</v>
      </c>
      <c r="X234" s="17">
        <v>0</v>
      </c>
      <c r="Y234" s="263">
        <v>3950</v>
      </c>
      <c r="Z234" s="253">
        <v>0</v>
      </c>
      <c r="AA234" s="33">
        <v>0</v>
      </c>
      <c r="AB234" s="201">
        <v>0</v>
      </c>
      <c r="AC234" s="225">
        <v>0</v>
      </c>
      <c r="AD234" s="253">
        <v>0</v>
      </c>
      <c r="AE234" s="52" t="s">
        <v>484</v>
      </c>
      <c r="AF234" s="5" t="s">
        <v>19</v>
      </c>
      <c r="AG234" s="193" t="s">
        <v>609</v>
      </c>
      <c r="AH234" s="193" t="s">
        <v>513</v>
      </c>
      <c r="AI234" s="104" t="s">
        <v>513</v>
      </c>
    </row>
    <row r="235" spans="1:35" s="388" customFormat="1" ht="25.5" x14ac:dyDescent="0.25">
      <c r="A235" s="127" t="s">
        <v>687</v>
      </c>
      <c r="B235" s="114" t="s">
        <v>546</v>
      </c>
      <c r="C235" s="66">
        <v>2019</v>
      </c>
      <c r="D235" s="66" t="s">
        <v>498</v>
      </c>
      <c r="E235" s="66" t="s">
        <v>374</v>
      </c>
      <c r="F235" s="66" t="s">
        <v>374</v>
      </c>
      <c r="G235" s="145" t="s">
        <v>375</v>
      </c>
      <c r="H235" s="310">
        <v>4285</v>
      </c>
      <c r="I235" s="231">
        <v>0</v>
      </c>
      <c r="J235" s="36">
        <v>0</v>
      </c>
      <c r="K235" s="1994">
        <v>4100</v>
      </c>
      <c r="L235" s="1256">
        <v>0</v>
      </c>
      <c r="M235" s="1256">
        <v>0</v>
      </c>
      <c r="N235" s="1669">
        <v>0</v>
      </c>
      <c r="O235" s="1670">
        <v>0</v>
      </c>
      <c r="P235" s="1671">
        <v>4100</v>
      </c>
      <c r="Q235" s="1670">
        <v>0</v>
      </c>
      <c r="R235" s="1550">
        <v>4100</v>
      </c>
      <c r="S235" s="494">
        <v>0</v>
      </c>
      <c r="T235" s="1550">
        <f t="shared" si="16"/>
        <v>4100</v>
      </c>
      <c r="U235" s="271">
        <v>0</v>
      </c>
      <c r="V235" s="270">
        <v>0</v>
      </c>
      <c r="W235" s="270">
        <v>0</v>
      </c>
      <c r="X235" s="342">
        <v>0</v>
      </c>
      <c r="Y235" s="312">
        <v>0</v>
      </c>
      <c r="Z235" s="311">
        <v>0</v>
      </c>
      <c r="AA235" s="338">
        <v>185</v>
      </c>
      <c r="AB235" s="270">
        <v>0</v>
      </c>
      <c r="AC235" s="1670">
        <v>0</v>
      </c>
      <c r="AD235" s="311">
        <v>0</v>
      </c>
      <c r="AE235" s="233" t="s">
        <v>710</v>
      </c>
      <c r="AF235" s="230" t="s">
        <v>535</v>
      </c>
      <c r="AG235" s="252" t="s">
        <v>523</v>
      </c>
      <c r="AH235" s="252" t="s">
        <v>514</v>
      </c>
      <c r="AI235" s="232" t="s">
        <v>514</v>
      </c>
    </row>
    <row r="236" spans="1:35" s="354" customFormat="1" ht="51" x14ac:dyDescent="0.25">
      <c r="A236" s="62" t="s">
        <v>688</v>
      </c>
      <c r="B236" s="85" t="s">
        <v>494</v>
      </c>
      <c r="C236" s="5">
        <v>2019</v>
      </c>
      <c r="D236" s="5" t="s">
        <v>498</v>
      </c>
      <c r="E236" s="5" t="s">
        <v>135</v>
      </c>
      <c r="F236" s="5" t="s">
        <v>135</v>
      </c>
      <c r="G236" s="417" t="s">
        <v>376</v>
      </c>
      <c r="H236" s="398">
        <v>950</v>
      </c>
      <c r="I236" s="61">
        <v>0</v>
      </c>
      <c r="J236" s="24">
        <v>0</v>
      </c>
      <c r="K236" s="412">
        <v>0</v>
      </c>
      <c r="L236" s="1252">
        <v>0</v>
      </c>
      <c r="M236" s="1252">
        <v>0</v>
      </c>
      <c r="N236" s="1302">
        <v>0</v>
      </c>
      <c r="O236" s="225">
        <v>0</v>
      </c>
      <c r="P236" s="202">
        <v>0</v>
      </c>
      <c r="Q236" s="225">
        <v>0</v>
      </c>
      <c r="R236" s="1268">
        <v>0</v>
      </c>
      <c r="S236" s="1269">
        <v>0</v>
      </c>
      <c r="T236" s="1268">
        <f t="shared" si="16"/>
        <v>0</v>
      </c>
      <c r="U236" s="850">
        <v>0</v>
      </c>
      <c r="V236" s="201">
        <v>0</v>
      </c>
      <c r="W236" s="201">
        <v>0</v>
      </c>
      <c r="X236" s="17">
        <v>0</v>
      </c>
      <c r="Y236" s="263">
        <v>0</v>
      </c>
      <c r="Z236" s="263">
        <v>950</v>
      </c>
      <c r="AA236" s="33">
        <v>0</v>
      </c>
      <c r="AB236" s="201">
        <v>0</v>
      </c>
      <c r="AC236" s="225">
        <v>0</v>
      </c>
      <c r="AD236" s="253">
        <v>0</v>
      </c>
      <c r="AE236" s="52" t="s">
        <v>484</v>
      </c>
      <c r="AF236" s="5" t="s">
        <v>19</v>
      </c>
      <c r="AG236" s="193" t="s">
        <v>542</v>
      </c>
      <c r="AH236" s="193" t="s">
        <v>513</v>
      </c>
      <c r="AI236" s="104" t="s">
        <v>513</v>
      </c>
    </row>
    <row r="237" spans="1:35" s="354" customFormat="1" ht="38.25" x14ac:dyDescent="0.25">
      <c r="A237" s="993" t="s">
        <v>689</v>
      </c>
      <c r="B237" s="945" t="s">
        <v>1049</v>
      </c>
      <c r="C237" s="454">
        <v>2019</v>
      </c>
      <c r="D237" s="454" t="s">
        <v>498</v>
      </c>
      <c r="E237" s="454" t="s">
        <v>11</v>
      </c>
      <c r="F237" s="454" t="s">
        <v>377</v>
      </c>
      <c r="G237" s="1027" t="s">
        <v>378</v>
      </c>
      <c r="H237" s="1028">
        <v>8900</v>
      </c>
      <c r="I237" s="628">
        <v>0</v>
      </c>
      <c r="J237" s="552">
        <v>0</v>
      </c>
      <c r="K237" s="1901">
        <v>0</v>
      </c>
      <c r="L237" s="1539">
        <f>181.5+24.2</f>
        <v>205.7</v>
      </c>
      <c r="M237" s="1539">
        <v>0</v>
      </c>
      <c r="N237" s="1493">
        <v>0</v>
      </c>
      <c r="O237" s="608">
        <v>0</v>
      </c>
      <c r="P237" s="918">
        <v>0</v>
      </c>
      <c r="Q237" s="608">
        <v>205.7</v>
      </c>
      <c r="R237" s="1449">
        <v>423.5</v>
      </c>
      <c r="S237" s="1450">
        <v>-217.8</v>
      </c>
      <c r="T237" s="1449">
        <f t="shared" si="16"/>
        <v>205.7</v>
      </c>
      <c r="U237" s="919">
        <v>211.75</v>
      </c>
      <c r="V237" s="920">
        <v>0</v>
      </c>
      <c r="W237" s="920">
        <v>4030.25</v>
      </c>
      <c r="X237" s="921">
        <v>4452.3</v>
      </c>
      <c r="Y237" s="922">
        <v>8694.2999999999993</v>
      </c>
      <c r="Z237" s="947">
        <v>0</v>
      </c>
      <c r="AA237" s="556">
        <v>0</v>
      </c>
      <c r="AB237" s="920">
        <v>0</v>
      </c>
      <c r="AC237" s="608">
        <v>0</v>
      </c>
      <c r="AD237" s="947">
        <v>0</v>
      </c>
      <c r="AE237" s="359" t="s">
        <v>1388</v>
      </c>
      <c r="AF237" s="454" t="s">
        <v>19</v>
      </c>
      <c r="AG237" s="996" t="s">
        <v>609</v>
      </c>
      <c r="AH237" s="996" t="s">
        <v>513</v>
      </c>
      <c r="AI237" s="555" t="s">
        <v>513</v>
      </c>
    </row>
    <row r="238" spans="1:35" s="354" customFormat="1" ht="25.5" x14ac:dyDescent="0.25">
      <c r="A238" s="62" t="s">
        <v>690</v>
      </c>
      <c r="B238" s="85" t="s">
        <v>494</v>
      </c>
      <c r="C238" s="5">
        <v>2019</v>
      </c>
      <c r="D238" s="5" t="s">
        <v>498</v>
      </c>
      <c r="E238" s="5" t="s">
        <v>379</v>
      </c>
      <c r="F238" s="5" t="s">
        <v>379</v>
      </c>
      <c r="G238" s="417" t="s">
        <v>380</v>
      </c>
      <c r="H238" s="398">
        <v>460</v>
      </c>
      <c r="I238" s="61">
        <v>0</v>
      </c>
      <c r="J238" s="24">
        <v>0</v>
      </c>
      <c r="K238" s="412">
        <v>0</v>
      </c>
      <c r="L238" s="1252">
        <v>0</v>
      </c>
      <c r="M238" s="1252">
        <v>0</v>
      </c>
      <c r="N238" s="1302">
        <v>0</v>
      </c>
      <c r="O238" s="225">
        <v>0</v>
      </c>
      <c r="P238" s="202">
        <v>0</v>
      </c>
      <c r="Q238" s="225">
        <v>0</v>
      </c>
      <c r="R238" s="1268">
        <v>0</v>
      </c>
      <c r="S238" s="1269">
        <v>0</v>
      </c>
      <c r="T238" s="1268">
        <f t="shared" si="16"/>
        <v>0</v>
      </c>
      <c r="U238" s="850">
        <v>0</v>
      </c>
      <c r="V238" s="201">
        <v>0</v>
      </c>
      <c r="W238" s="201">
        <v>0</v>
      </c>
      <c r="X238" s="17">
        <v>0</v>
      </c>
      <c r="Y238" s="263">
        <v>0</v>
      </c>
      <c r="Z238" s="263">
        <v>460</v>
      </c>
      <c r="AA238" s="33">
        <v>0</v>
      </c>
      <c r="AB238" s="201">
        <v>0</v>
      </c>
      <c r="AC238" s="225">
        <v>0</v>
      </c>
      <c r="AD238" s="253">
        <v>0</v>
      </c>
      <c r="AE238" s="52" t="s">
        <v>484</v>
      </c>
      <c r="AF238" s="5" t="s">
        <v>19</v>
      </c>
      <c r="AG238" s="193" t="s">
        <v>610</v>
      </c>
      <c r="AH238" s="193" t="s">
        <v>513</v>
      </c>
      <c r="AI238" s="104" t="s">
        <v>513</v>
      </c>
    </row>
    <row r="239" spans="1:35" s="354" customFormat="1" ht="25.5" x14ac:dyDescent="0.25">
      <c r="A239" s="62" t="s">
        <v>691</v>
      </c>
      <c r="B239" s="62" t="s">
        <v>494</v>
      </c>
      <c r="C239" s="5">
        <v>2019</v>
      </c>
      <c r="D239" s="5" t="s">
        <v>498</v>
      </c>
      <c r="E239" s="5" t="s">
        <v>381</v>
      </c>
      <c r="F239" s="5" t="s">
        <v>381</v>
      </c>
      <c r="G239" s="417" t="s">
        <v>382</v>
      </c>
      <c r="H239" s="398">
        <v>2900</v>
      </c>
      <c r="I239" s="61">
        <v>0</v>
      </c>
      <c r="J239" s="24">
        <v>0</v>
      </c>
      <c r="K239" s="412">
        <v>0</v>
      </c>
      <c r="L239" s="1252">
        <v>0</v>
      </c>
      <c r="M239" s="1252">
        <v>0</v>
      </c>
      <c r="N239" s="1302">
        <v>0</v>
      </c>
      <c r="O239" s="225">
        <v>0</v>
      </c>
      <c r="P239" s="202">
        <v>0</v>
      </c>
      <c r="Q239" s="225">
        <v>0</v>
      </c>
      <c r="R239" s="1268">
        <v>0</v>
      </c>
      <c r="S239" s="1269">
        <v>0</v>
      </c>
      <c r="T239" s="1268">
        <f t="shared" si="16"/>
        <v>0</v>
      </c>
      <c r="U239" s="850">
        <v>0</v>
      </c>
      <c r="V239" s="201">
        <v>1500</v>
      </c>
      <c r="W239" s="201">
        <v>1400</v>
      </c>
      <c r="X239" s="17">
        <v>0</v>
      </c>
      <c r="Y239" s="263">
        <v>2900</v>
      </c>
      <c r="Z239" s="253">
        <v>0</v>
      </c>
      <c r="AA239" s="33">
        <v>0</v>
      </c>
      <c r="AB239" s="201">
        <v>0</v>
      </c>
      <c r="AC239" s="225">
        <v>0</v>
      </c>
      <c r="AD239" s="253">
        <v>0</v>
      </c>
      <c r="AE239" s="52" t="s">
        <v>484</v>
      </c>
      <c r="AF239" s="5" t="s">
        <v>19</v>
      </c>
      <c r="AG239" s="193" t="s">
        <v>609</v>
      </c>
      <c r="AH239" s="193" t="s">
        <v>513</v>
      </c>
      <c r="AI239" s="104" t="s">
        <v>513</v>
      </c>
    </row>
    <row r="240" spans="1:35" s="354" customFormat="1" ht="25.5" x14ac:dyDescent="0.25">
      <c r="A240" s="62" t="s">
        <v>692</v>
      </c>
      <c r="B240" s="62" t="s">
        <v>494</v>
      </c>
      <c r="C240" s="5">
        <v>2019</v>
      </c>
      <c r="D240" s="5" t="s">
        <v>498</v>
      </c>
      <c r="E240" s="5" t="s">
        <v>383</v>
      </c>
      <c r="F240" s="5" t="s">
        <v>383</v>
      </c>
      <c r="G240" s="417" t="s">
        <v>384</v>
      </c>
      <c r="H240" s="398">
        <v>3450</v>
      </c>
      <c r="I240" s="61">
        <v>0</v>
      </c>
      <c r="J240" s="24">
        <v>0</v>
      </c>
      <c r="K240" s="412">
        <v>0</v>
      </c>
      <c r="L240" s="1252">
        <v>0</v>
      </c>
      <c r="M240" s="1252">
        <v>0</v>
      </c>
      <c r="N240" s="1302">
        <v>0</v>
      </c>
      <c r="O240" s="225">
        <v>0</v>
      </c>
      <c r="P240" s="202">
        <v>0</v>
      </c>
      <c r="Q240" s="225">
        <v>0</v>
      </c>
      <c r="R240" s="1268">
        <v>0</v>
      </c>
      <c r="S240" s="1269">
        <v>0</v>
      </c>
      <c r="T240" s="1268">
        <f t="shared" si="16"/>
        <v>0</v>
      </c>
      <c r="U240" s="850">
        <v>0</v>
      </c>
      <c r="V240" s="201">
        <v>0</v>
      </c>
      <c r="W240" s="201">
        <v>0</v>
      </c>
      <c r="X240" s="17">
        <v>0</v>
      </c>
      <c r="Y240" s="263">
        <v>0</v>
      </c>
      <c r="Z240" s="253">
        <v>2650</v>
      </c>
      <c r="AA240" s="33">
        <v>0</v>
      </c>
      <c r="AB240" s="201">
        <v>0</v>
      </c>
      <c r="AC240" s="225">
        <v>800</v>
      </c>
      <c r="AD240" s="253">
        <v>0</v>
      </c>
      <c r="AE240" s="52" t="s">
        <v>484</v>
      </c>
      <c r="AF240" s="5" t="s">
        <v>19</v>
      </c>
      <c r="AG240" s="193" t="s">
        <v>615</v>
      </c>
      <c r="AH240" s="193" t="s">
        <v>513</v>
      </c>
      <c r="AI240" s="104" t="s">
        <v>513</v>
      </c>
    </row>
    <row r="241" spans="1:35" s="354" customFormat="1" ht="25.5" x14ac:dyDescent="0.25">
      <c r="A241" s="62" t="s">
        <v>693</v>
      </c>
      <c r="B241" s="62" t="s">
        <v>494</v>
      </c>
      <c r="C241" s="5">
        <v>2019</v>
      </c>
      <c r="D241" s="5" t="s">
        <v>498</v>
      </c>
      <c r="E241" s="5" t="s">
        <v>386</v>
      </c>
      <c r="F241" s="5" t="s">
        <v>386</v>
      </c>
      <c r="G241" s="417" t="s">
        <v>387</v>
      </c>
      <c r="H241" s="398">
        <v>3000</v>
      </c>
      <c r="I241" s="61">
        <v>0</v>
      </c>
      <c r="J241" s="24">
        <v>0</v>
      </c>
      <c r="K241" s="412">
        <v>0</v>
      </c>
      <c r="L241" s="1252">
        <v>0</v>
      </c>
      <c r="M241" s="1252">
        <v>0</v>
      </c>
      <c r="N241" s="1302">
        <v>0</v>
      </c>
      <c r="O241" s="225">
        <v>0</v>
      </c>
      <c r="P241" s="202">
        <v>0</v>
      </c>
      <c r="Q241" s="225">
        <v>0</v>
      </c>
      <c r="R241" s="1268">
        <v>0</v>
      </c>
      <c r="S241" s="1269">
        <v>0</v>
      </c>
      <c r="T241" s="1268">
        <f t="shared" si="16"/>
        <v>0</v>
      </c>
      <c r="U241" s="850">
        <v>0</v>
      </c>
      <c r="V241" s="201">
        <v>1500</v>
      </c>
      <c r="W241" s="201">
        <v>1500</v>
      </c>
      <c r="X241" s="17">
        <v>0</v>
      </c>
      <c r="Y241" s="263">
        <v>3000</v>
      </c>
      <c r="Z241" s="253">
        <v>0</v>
      </c>
      <c r="AA241" s="33">
        <v>0</v>
      </c>
      <c r="AB241" s="201">
        <v>0</v>
      </c>
      <c r="AC241" s="225">
        <v>0</v>
      </c>
      <c r="AD241" s="253">
        <v>0</v>
      </c>
      <c r="AE241" s="52" t="s">
        <v>484</v>
      </c>
      <c r="AF241" s="5" t="s">
        <v>19</v>
      </c>
      <c r="AG241" s="193" t="s">
        <v>616</v>
      </c>
      <c r="AH241" s="193" t="s">
        <v>513</v>
      </c>
      <c r="AI241" s="104" t="s">
        <v>513</v>
      </c>
    </row>
    <row r="242" spans="1:35" s="354" customFormat="1" ht="38.25" x14ac:dyDescent="0.25">
      <c r="A242" s="62" t="s">
        <v>694</v>
      </c>
      <c r="B242" s="62" t="s">
        <v>494</v>
      </c>
      <c r="C242" s="5">
        <v>2019</v>
      </c>
      <c r="D242" s="5" t="s">
        <v>498</v>
      </c>
      <c r="E242" s="5" t="s">
        <v>143</v>
      </c>
      <c r="F242" s="5" t="s">
        <v>143</v>
      </c>
      <c r="G242" s="417" t="s">
        <v>388</v>
      </c>
      <c r="H242" s="398">
        <v>1600</v>
      </c>
      <c r="I242" s="61">
        <v>0</v>
      </c>
      <c r="J242" s="24">
        <v>0</v>
      </c>
      <c r="K242" s="412">
        <v>0</v>
      </c>
      <c r="L242" s="1252">
        <v>0</v>
      </c>
      <c r="M242" s="1252">
        <v>0</v>
      </c>
      <c r="N242" s="1302">
        <v>0</v>
      </c>
      <c r="O242" s="225">
        <v>0</v>
      </c>
      <c r="P242" s="202">
        <v>0</v>
      </c>
      <c r="Q242" s="225">
        <v>0</v>
      </c>
      <c r="R242" s="1268">
        <v>0</v>
      </c>
      <c r="S242" s="1269">
        <v>0</v>
      </c>
      <c r="T242" s="1268">
        <f t="shared" si="16"/>
        <v>0</v>
      </c>
      <c r="U242" s="850">
        <v>0</v>
      </c>
      <c r="V242" s="201">
        <v>0</v>
      </c>
      <c r="W242" s="201">
        <v>1600</v>
      </c>
      <c r="X242" s="17">
        <v>0</v>
      </c>
      <c r="Y242" s="263">
        <v>1600</v>
      </c>
      <c r="Z242" s="253">
        <v>0</v>
      </c>
      <c r="AA242" s="33">
        <v>0</v>
      </c>
      <c r="AB242" s="201">
        <v>0</v>
      </c>
      <c r="AC242" s="225">
        <v>0</v>
      </c>
      <c r="AD242" s="253">
        <v>0</v>
      </c>
      <c r="AE242" s="52" t="s">
        <v>484</v>
      </c>
      <c r="AF242" s="5" t="s">
        <v>19</v>
      </c>
      <c r="AG242" s="1657" t="s">
        <v>1008</v>
      </c>
      <c r="AH242" s="193" t="s">
        <v>513</v>
      </c>
      <c r="AI242" s="104" t="s">
        <v>513</v>
      </c>
    </row>
    <row r="243" spans="1:35" s="354" customFormat="1" ht="51" x14ac:dyDescent="0.25">
      <c r="A243" s="1017" t="s">
        <v>695</v>
      </c>
      <c r="B243" s="1017" t="s">
        <v>1050</v>
      </c>
      <c r="C243" s="353">
        <v>2019</v>
      </c>
      <c r="D243" s="353" t="s">
        <v>498</v>
      </c>
      <c r="E243" s="353" t="s">
        <v>389</v>
      </c>
      <c r="F243" s="353" t="s">
        <v>389</v>
      </c>
      <c r="G243" s="1018" t="s">
        <v>390</v>
      </c>
      <c r="H243" s="1019">
        <v>3128.1</v>
      </c>
      <c r="I243" s="327">
        <v>0</v>
      </c>
      <c r="J243" s="464">
        <v>0</v>
      </c>
      <c r="K243" s="412">
        <v>0</v>
      </c>
      <c r="L243" s="1615">
        <v>0</v>
      </c>
      <c r="M243" s="1615">
        <v>2887.14327</v>
      </c>
      <c r="N243" s="1656">
        <v>0</v>
      </c>
      <c r="O243" s="697">
        <v>0</v>
      </c>
      <c r="P243" s="933">
        <v>0</v>
      </c>
      <c r="Q243" s="933">
        <v>3128.1</v>
      </c>
      <c r="R243" s="1320">
        <v>3645.9</v>
      </c>
      <c r="S243" s="1321">
        <v>-517.79999999999995</v>
      </c>
      <c r="T243" s="1320">
        <f t="shared" si="16"/>
        <v>3128.1000000000004</v>
      </c>
      <c r="U243" s="929">
        <v>0</v>
      </c>
      <c r="V243" s="594">
        <v>0</v>
      </c>
      <c r="W243" s="594">
        <v>0</v>
      </c>
      <c r="X243" s="930">
        <v>0</v>
      </c>
      <c r="Y243" s="931">
        <v>0</v>
      </c>
      <c r="Z243" s="935">
        <v>0</v>
      </c>
      <c r="AA243" s="1122">
        <v>0</v>
      </c>
      <c r="AB243" s="594">
        <v>0</v>
      </c>
      <c r="AC243" s="697">
        <v>0</v>
      </c>
      <c r="AD243" s="935">
        <v>0</v>
      </c>
      <c r="AE243" s="1882" t="s">
        <v>1389</v>
      </c>
      <c r="AF243" s="353" t="s">
        <v>43</v>
      </c>
      <c r="AG243" s="1672" t="s">
        <v>732</v>
      </c>
      <c r="AH243" s="1000" t="s">
        <v>514</v>
      </c>
      <c r="AI243" s="805" t="s">
        <v>513</v>
      </c>
    </row>
    <row r="244" spans="1:35" s="354" customFormat="1" ht="38.25" x14ac:dyDescent="0.25">
      <c r="A244" s="987" t="s">
        <v>696</v>
      </c>
      <c r="B244" s="987" t="s">
        <v>1051</v>
      </c>
      <c r="C244" s="298">
        <v>2019</v>
      </c>
      <c r="D244" s="298" t="s">
        <v>498</v>
      </c>
      <c r="E244" s="298" t="s">
        <v>391</v>
      </c>
      <c r="F244" s="298" t="s">
        <v>391</v>
      </c>
      <c r="G244" s="1024" t="s">
        <v>392</v>
      </c>
      <c r="H244" s="1919">
        <f>11718-0.2</f>
        <v>11717.8</v>
      </c>
      <c r="I244" s="333">
        <v>0</v>
      </c>
      <c r="J244" s="299">
        <v>0</v>
      </c>
      <c r="K244" s="1916">
        <v>0</v>
      </c>
      <c r="L244" s="1545">
        <v>0</v>
      </c>
      <c r="M244" s="1545">
        <v>0</v>
      </c>
      <c r="N244" s="927">
        <v>0</v>
      </c>
      <c r="O244" s="528">
        <v>0</v>
      </c>
      <c r="P244" s="527">
        <v>0</v>
      </c>
      <c r="Q244" s="528">
        <v>459.8</v>
      </c>
      <c r="R244" s="1546">
        <v>459.8</v>
      </c>
      <c r="S244" s="1547">
        <v>0</v>
      </c>
      <c r="T244" s="1546">
        <f t="shared" si="16"/>
        <v>459.8</v>
      </c>
      <c r="U244" s="927"/>
      <c r="V244" s="527">
        <v>0</v>
      </c>
      <c r="W244" s="527">
        <v>6000</v>
      </c>
      <c r="X244" s="575">
        <v>5258</v>
      </c>
      <c r="Y244" s="1673">
        <v>11258</v>
      </c>
      <c r="Z244" s="1674">
        <v>0</v>
      </c>
      <c r="AA244" s="1120">
        <v>0</v>
      </c>
      <c r="AB244" s="527">
        <v>0</v>
      </c>
      <c r="AC244" s="528">
        <v>0</v>
      </c>
      <c r="AD244" s="1674">
        <v>0</v>
      </c>
      <c r="AE244" s="280" t="s">
        <v>1390</v>
      </c>
      <c r="AF244" s="298" t="s">
        <v>19</v>
      </c>
      <c r="AG244" s="991" t="s">
        <v>732</v>
      </c>
      <c r="AH244" s="991" t="s">
        <v>513</v>
      </c>
      <c r="AI244" s="992" t="s">
        <v>513</v>
      </c>
    </row>
    <row r="245" spans="1:35" s="354" customFormat="1" ht="30" x14ac:dyDescent="0.25">
      <c r="A245" s="62" t="s">
        <v>697</v>
      </c>
      <c r="B245" s="62" t="s">
        <v>494</v>
      </c>
      <c r="C245" s="5">
        <v>2019</v>
      </c>
      <c r="D245" s="5" t="s">
        <v>498</v>
      </c>
      <c r="E245" s="5" t="s">
        <v>165</v>
      </c>
      <c r="F245" s="5" t="s">
        <v>165</v>
      </c>
      <c r="G245" s="417" t="s">
        <v>440</v>
      </c>
      <c r="H245" s="398">
        <v>1100</v>
      </c>
      <c r="I245" s="61">
        <v>0</v>
      </c>
      <c r="J245" s="24">
        <v>0</v>
      </c>
      <c r="K245" s="412">
        <v>0</v>
      </c>
      <c r="L245" s="1252">
        <v>0</v>
      </c>
      <c r="M245" s="1252">
        <v>0</v>
      </c>
      <c r="N245" s="1302">
        <v>0</v>
      </c>
      <c r="O245" s="225">
        <v>0</v>
      </c>
      <c r="P245" s="202">
        <v>0</v>
      </c>
      <c r="Q245" s="225">
        <v>0</v>
      </c>
      <c r="R245" s="1268">
        <v>0</v>
      </c>
      <c r="S245" s="1269">
        <v>0</v>
      </c>
      <c r="T245" s="1268">
        <f t="shared" si="16"/>
        <v>0</v>
      </c>
      <c r="U245" s="850">
        <v>0</v>
      </c>
      <c r="V245" s="201">
        <v>0</v>
      </c>
      <c r="W245" s="201">
        <v>0</v>
      </c>
      <c r="X245" s="17">
        <v>0</v>
      </c>
      <c r="Y245" s="263">
        <v>0</v>
      </c>
      <c r="Z245" s="263">
        <v>1100</v>
      </c>
      <c r="AA245" s="33">
        <v>0</v>
      </c>
      <c r="AB245" s="201">
        <v>0</v>
      </c>
      <c r="AC245" s="225">
        <v>0</v>
      </c>
      <c r="AD245" s="253">
        <v>0</v>
      </c>
      <c r="AE245" s="52" t="s">
        <v>484</v>
      </c>
      <c r="AF245" s="5" t="s">
        <v>19</v>
      </c>
      <c r="AG245" s="193" t="s">
        <v>610</v>
      </c>
      <c r="AH245" s="193" t="s">
        <v>513</v>
      </c>
      <c r="AI245" s="104" t="s">
        <v>513</v>
      </c>
    </row>
    <row r="246" spans="1:35" s="354" customFormat="1" ht="25.5" x14ac:dyDescent="0.25">
      <c r="A246" s="62" t="s">
        <v>698</v>
      </c>
      <c r="B246" s="62" t="s">
        <v>494</v>
      </c>
      <c r="C246" s="5">
        <v>2019</v>
      </c>
      <c r="D246" s="5" t="s">
        <v>498</v>
      </c>
      <c r="E246" s="5" t="s">
        <v>393</v>
      </c>
      <c r="F246" s="5" t="s">
        <v>393</v>
      </c>
      <c r="G246" s="417" t="s">
        <v>394</v>
      </c>
      <c r="H246" s="398">
        <v>1200</v>
      </c>
      <c r="I246" s="61">
        <v>0</v>
      </c>
      <c r="J246" s="24">
        <v>0</v>
      </c>
      <c r="K246" s="412">
        <v>0</v>
      </c>
      <c r="L246" s="1252">
        <v>0</v>
      </c>
      <c r="M246" s="1252">
        <v>0</v>
      </c>
      <c r="N246" s="1302">
        <v>0</v>
      </c>
      <c r="O246" s="225">
        <v>0</v>
      </c>
      <c r="P246" s="202">
        <v>0</v>
      </c>
      <c r="Q246" s="225">
        <v>0</v>
      </c>
      <c r="R246" s="1268">
        <v>0</v>
      </c>
      <c r="S246" s="1269">
        <v>0</v>
      </c>
      <c r="T246" s="1268">
        <f t="shared" si="16"/>
        <v>0</v>
      </c>
      <c r="U246" s="850">
        <v>0</v>
      </c>
      <c r="V246" s="201">
        <v>0</v>
      </c>
      <c r="W246" s="201">
        <v>1200</v>
      </c>
      <c r="X246" s="17">
        <v>0</v>
      </c>
      <c r="Y246" s="263">
        <v>1200</v>
      </c>
      <c r="Z246" s="253">
        <v>0</v>
      </c>
      <c r="AA246" s="33">
        <v>0</v>
      </c>
      <c r="AB246" s="201">
        <v>0</v>
      </c>
      <c r="AC246" s="225">
        <v>0</v>
      </c>
      <c r="AD246" s="253">
        <v>0</v>
      </c>
      <c r="AE246" s="52" t="s">
        <v>484</v>
      </c>
      <c r="AF246" s="5" t="s">
        <v>19</v>
      </c>
      <c r="AG246" s="193" t="s">
        <v>904</v>
      </c>
      <c r="AH246" s="193" t="s">
        <v>513</v>
      </c>
      <c r="AI246" s="104" t="s">
        <v>513</v>
      </c>
    </row>
    <row r="247" spans="1:35" s="354" customFormat="1" ht="38.25" x14ac:dyDescent="0.25">
      <c r="A247" s="62" t="s">
        <v>699</v>
      </c>
      <c r="B247" s="62" t="s">
        <v>494</v>
      </c>
      <c r="C247" s="5">
        <v>2019</v>
      </c>
      <c r="D247" s="5" t="s">
        <v>498</v>
      </c>
      <c r="E247" s="5" t="s">
        <v>395</v>
      </c>
      <c r="F247" s="5" t="s">
        <v>395</v>
      </c>
      <c r="G247" s="417" t="s">
        <v>396</v>
      </c>
      <c r="H247" s="398">
        <v>4847.75</v>
      </c>
      <c r="I247" s="61">
        <v>0</v>
      </c>
      <c r="J247" s="24">
        <v>0</v>
      </c>
      <c r="K247" s="412">
        <v>0</v>
      </c>
      <c r="L247" s="1252">
        <v>0</v>
      </c>
      <c r="M247" s="1252">
        <v>0</v>
      </c>
      <c r="N247" s="1302">
        <v>0</v>
      </c>
      <c r="O247" s="225">
        <v>0</v>
      </c>
      <c r="P247" s="202">
        <v>0</v>
      </c>
      <c r="Q247" s="225">
        <v>0</v>
      </c>
      <c r="R247" s="1268">
        <v>0</v>
      </c>
      <c r="S247" s="1269">
        <v>0</v>
      </c>
      <c r="T247" s="1268">
        <f t="shared" si="16"/>
        <v>0</v>
      </c>
      <c r="U247" s="850">
        <v>0</v>
      </c>
      <c r="V247" s="201">
        <v>0</v>
      </c>
      <c r="W247" s="201">
        <v>0</v>
      </c>
      <c r="X247" s="17">
        <v>2773.96</v>
      </c>
      <c r="Y247" s="263">
        <v>2773.96</v>
      </c>
      <c r="Z247" s="253">
        <v>0</v>
      </c>
      <c r="AA247" s="33">
        <v>0</v>
      </c>
      <c r="AB247" s="201">
        <v>0</v>
      </c>
      <c r="AC247" s="225">
        <v>2073.79</v>
      </c>
      <c r="AD247" s="253">
        <v>0</v>
      </c>
      <c r="AE247" s="52" t="s">
        <v>484</v>
      </c>
      <c r="AF247" s="5" t="s">
        <v>19</v>
      </c>
      <c r="AG247" s="193" t="s">
        <v>542</v>
      </c>
      <c r="AH247" s="193" t="s">
        <v>513</v>
      </c>
      <c r="AI247" s="104" t="s">
        <v>513</v>
      </c>
    </row>
    <row r="248" spans="1:35" s="354" customFormat="1" ht="25.5" x14ac:dyDescent="0.25">
      <c r="A248" s="62" t="s">
        <v>700</v>
      </c>
      <c r="B248" s="62" t="s">
        <v>494</v>
      </c>
      <c r="C248" s="5">
        <v>2019</v>
      </c>
      <c r="D248" s="5" t="s">
        <v>498</v>
      </c>
      <c r="E248" s="5" t="s">
        <v>11</v>
      </c>
      <c r="F248" s="5" t="s">
        <v>397</v>
      </c>
      <c r="G248" s="417" t="s">
        <v>398</v>
      </c>
      <c r="H248" s="398">
        <v>18000</v>
      </c>
      <c r="I248" s="61">
        <v>0</v>
      </c>
      <c r="J248" s="24">
        <v>0</v>
      </c>
      <c r="K248" s="412">
        <v>0</v>
      </c>
      <c r="L248" s="1252">
        <v>0</v>
      </c>
      <c r="M248" s="1252">
        <v>0</v>
      </c>
      <c r="N248" s="1302">
        <v>0</v>
      </c>
      <c r="O248" s="225">
        <v>0</v>
      </c>
      <c r="P248" s="202">
        <v>0</v>
      </c>
      <c r="Q248" s="225">
        <v>0</v>
      </c>
      <c r="R248" s="1268">
        <v>0</v>
      </c>
      <c r="S248" s="1269">
        <v>0</v>
      </c>
      <c r="T248" s="1268">
        <f t="shared" si="16"/>
        <v>0</v>
      </c>
      <c r="U248" s="850">
        <v>0</v>
      </c>
      <c r="V248" s="201">
        <v>0</v>
      </c>
      <c r="W248" s="201">
        <v>0</v>
      </c>
      <c r="X248" s="17">
        <v>0</v>
      </c>
      <c r="Y248" s="263">
        <v>0</v>
      </c>
      <c r="Z248" s="253">
        <v>18000</v>
      </c>
      <c r="AA248" s="33">
        <v>0</v>
      </c>
      <c r="AB248" s="201">
        <v>0</v>
      </c>
      <c r="AC248" s="225">
        <v>0</v>
      </c>
      <c r="AD248" s="253">
        <v>0</v>
      </c>
      <c r="AE248" s="52" t="s">
        <v>484</v>
      </c>
      <c r="AF248" s="5" t="s">
        <v>19</v>
      </c>
      <c r="AG248" s="193" t="s">
        <v>610</v>
      </c>
      <c r="AH248" s="193" t="s">
        <v>513</v>
      </c>
      <c r="AI248" s="104" t="s">
        <v>513</v>
      </c>
    </row>
    <row r="249" spans="1:35" s="354" customFormat="1" ht="25.5" x14ac:dyDescent="0.25">
      <c r="A249" s="62" t="s">
        <v>701</v>
      </c>
      <c r="B249" s="62" t="s">
        <v>494</v>
      </c>
      <c r="C249" s="5">
        <v>2019</v>
      </c>
      <c r="D249" s="5" t="s">
        <v>498</v>
      </c>
      <c r="E249" s="5" t="s">
        <v>399</v>
      </c>
      <c r="F249" s="5" t="s">
        <v>399</v>
      </c>
      <c r="G249" s="417" t="s">
        <v>400</v>
      </c>
      <c r="H249" s="398">
        <v>3000</v>
      </c>
      <c r="I249" s="61">
        <v>0</v>
      </c>
      <c r="J249" s="24">
        <v>0</v>
      </c>
      <c r="K249" s="412">
        <v>0</v>
      </c>
      <c r="L249" s="1252">
        <v>0</v>
      </c>
      <c r="M249" s="1252">
        <v>0</v>
      </c>
      <c r="N249" s="1302">
        <v>0</v>
      </c>
      <c r="O249" s="225">
        <v>0</v>
      </c>
      <c r="P249" s="202">
        <v>0</v>
      </c>
      <c r="Q249" s="225">
        <v>0</v>
      </c>
      <c r="R249" s="1268">
        <v>0</v>
      </c>
      <c r="S249" s="1269">
        <v>0</v>
      </c>
      <c r="T249" s="1268">
        <f t="shared" si="16"/>
        <v>0</v>
      </c>
      <c r="U249" s="850">
        <v>0</v>
      </c>
      <c r="V249" s="201">
        <v>0</v>
      </c>
      <c r="W249" s="201">
        <v>0</v>
      </c>
      <c r="X249" s="17">
        <v>0</v>
      </c>
      <c r="Y249" s="263">
        <v>0</v>
      </c>
      <c r="Z249" s="263">
        <v>3000</v>
      </c>
      <c r="AA249" s="33">
        <v>0</v>
      </c>
      <c r="AB249" s="201">
        <v>0</v>
      </c>
      <c r="AC249" s="225">
        <v>0</v>
      </c>
      <c r="AD249" s="253">
        <v>0</v>
      </c>
      <c r="AE249" s="52" t="s">
        <v>484</v>
      </c>
      <c r="AF249" s="5" t="s">
        <v>19</v>
      </c>
      <c r="AG249" s="193" t="s">
        <v>610</v>
      </c>
      <c r="AH249" s="193" t="s">
        <v>513</v>
      </c>
      <c r="AI249" s="104" t="s">
        <v>513</v>
      </c>
    </row>
    <row r="250" spans="1:35" s="354" customFormat="1" ht="38.25" x14ac:dyDescent="0.25">
      <c r="A250" s="62" t="s">
        <v>702</v>
      </c>
      <c r="B250" s="62" t="s">
        <v>494</v>
      </c>
      <c r="C250" s="5">
        <v>2019</v>
      </c>
      <c r="D250" s="5" t="s">
        <v>498</v>
      </c>
      <c r="E250" s="5" t="s">
        <v>11</v>
      </c>
      <c r="F250" s="5" t="s">
        <v>401</v>
      </c>
      <c r="G250" s="417" t="s">
        <v>402</v>
      </c>
      <c r="H250" s="398">
        <v>10000</v>
      </c>
      <c r="I250" s="61">
        <v>0</v>
      </c>
      <c r="J250" s="24">
        <v>0</v>
      </c>
      <c r="K250" s="412">
        <v>0</v>
      </c>
      <c r="L250" s="1252">
        <v>0</v>
      </c>
      <c r="M250" s="1252">
        <v>0</v>
      </c>
      <c r="N250" s="1302">
        <v>0</v>
      </c>
      <c r="O250" s="225">
        <v>0</v>
      </c>
      <c r="P250" s="202">
        <v>0</v>
      </c>
      <c r="Q250" s="225">
        <v>0</v>
      </c>
      <c r="R250" s="1268">
        <v>0</v>
      </c>
      <c r="S250" s="1269">
        <v>0</v>
      </c>
      <c r="T250" s="1268">
        <f t="shared" si="16"/>
        <v>0</v>
      </c>
      <c r="U250" s="850">
        <v>0</v>
      </c>
      <c r="V250" s="201">
        <v>0</v>
      </c>
      <c r="W250" s="201">
        <v>5000</v>
      </c>
      <c r="X250" s="17">
        <v>5000</v>
      </c>
      <c r="Y250" s="263">
        <v>10000</v>
      </c>
      <c r="Z250" s="253">
        <v>0</v>
      </c>
      <c r="AA250" s="33">
        <v>0</v>
      </c>
      <c r="AB250" s="201">
        <v>0</v>
      </c>
      <c r="AC250" s="225">
        <v>0</v>
      </c>
      <c r="AD250" s="253">
        <v>0</v>
      </c>
      <c r="AE250" s="52" t="s">
        <v>1391</v>
      </c>
      <c r="AF250" s="5" t="s">
        <v>19</v>
      </c>
      <c r="AG250" s="193" t="s">
        <v>616</v>
      </c>
      <c r="AH250" s="193" t="s">
        <v>513</v>
      </c>
      <c r="AI250" s="104" t="s">
        <v>513</v>
      </c>
    </row>
    <row r="251" spans="1:35" s="354" customFormat="1" ht="30" x14ac:dyDescent="0.25">
      <c r="A251" s="62" t="s">
        <v>703</v>
      </c>
      <c r="B251" s="62" t="s">
        <v>494</v>
      </c>
      <c r="C251" s="5">
        <v>2019</v>
      </c>
      <c r="D251" s="5" t="s">
        <v>498</v>
      </c>
      <c r="E251" s="5" t="s">
        <v>175</v>
      </c>
      <c r="F251" s="5" t="s">
        <v>175</v>
      </c>
      <c r="G251" s="417" t="s">
        <v>403</v>
      </c>
      <c r="H251" s="398">
        <v>1000</v>
      </c>
      <c r="I251" s="61">
        <v>0</v>
      </c>
      <c r="J251" s="24">
        <v>0</v>
      </c>
      <c r="K251" s="412">
        <v>0</v>
      </c>
      <c r="L251" s="1252">
        <v>0</v>
      </c>
      <c r="M251" s="1252">
        <v>0</v>
      </c>
      <c r="N251" s="1302">
        <v>0</v>
      </c>
      <c r="O251" s="225">
        <v>0</v>
      </c>
      <c r="P251" s="202">
        <v>0</v>
      </c>
      <c r="Q251" s="225">
        <v>0</v>
      </c>
      <c r="R251" s="1268">
        <v>0</v>
      </c>
      <c r="S251" s="1269">
        <v>0</v>
      </c>
      <c r="T251" s="1268">
        <f t="shared" si="16"/>
        <v>0</v>
      </c>
      <c r="U251" s="850">
        <v>0</v>
      </c>
      <c r="V251" s="201">
        <v>0</v>
      </c>
      <c r="W251" s="201">
        <v>1000</v>
      </c>
      <c r="X251" s="17">
        <v>0</v>
      </c>
      <c r="Y251" s="263">
        <v>1000</v>
      </c>
      <c r="Z251" s="253">
        <v>0</v>
      </c>
      <c r="AA251" s="33">
        <v>0</v>
      </c>
      <c r="AB251" s="201">
        <v>0</v>
      </c>
      <c r="AC251" s="225">
        <v>0</v>
      </c>
      <c r="AD251" s="253">
        <v>0</v>
      </c>
      <c r="AE251" s="52" t="s">
        <v>484</v>
      </c>
      <c r="AF251" s="5" t="s">
        <v>19</v>
      </c>
      <c r="AG251" s="193" t="s">
        <v>899</v>
      </c>
      <c r="AH251" s="193" t="s">
        <v>513</v>
      </c>
      <c r="AI251" s="104" t="s">
        <v>513</v>
      </c>
    </row>
    <row r="252" spans="1:35" s="354" customFormat="1" ht="25.5" x14ac:dyDescent="0.25">
      <c r="A252" s="62" t="s">
        <v>704</v>
      </c>
      <c r="B252" s="62" t="s">
        <v>494</v>
      </c>
      <c r="C252" s="5">
        <v>2019</v>
      </c>
      <c r="D252" s="5" t="s">
        <v>498</v>
      </c>
      <c r="E252" s="5" t="s">
        <v>11</v>
      </c>
      <c r="F252" s="5" t="s">
        <v>404</v>
      </c>
      <c r="G252" s="417" t="s">
        <v>343</v>
      </c>
      <c r="H252" s="398">
        <v>27969.15</v>
      </c>
      <c r="I252" s="61">
        <v>0</v>
      </c>
      <c r="J252" s="24">
        <v>0</v>
      </c>
      <c r="K252" s="412">
        <v>0</v>
      </c>
      <c r="L252" s="1252">
        <v>0</v>
      </c>
      <c r="M252" s="1252">
        <v>0</v>
      </c>
      <c r="N252" s="1302">
        <v>0</v>
      </c>
      <c r="O252" s="225">
        <v>0</v>
      </c>
      <c r="P252" s="202">
        <v>0</v>
      </c>
      <c r="Q252" s="225">
        <v>0</v>
      </c>
      <c r="R252" s="1268">
        <v>0</v>
      </c>
      <c r="S252" s="1269">
        <v>0</v>
      </c>
      <c r="T252" s="1268">
        <f t="shared" si="16"/>
        <v>0</v>
      </c>
      <c r="U252" s="850">
        <v>0</v>
      </c>
      <c r="V252" s="201">
        <v>0</v>
      </c>
      <c r="W252" s="201">
        <v>9000</v>
      </c>
      <c r="X252" s="17">
        <v>5000</v>
      </c>
      <c r="Y252" s="263">
        <v>14000</v>
      </c>
      <c r="Z252" s="253">
        <v>13969.15</v>
      </c>
      <c r="AA252" s="33">
        <v>0</v>
      </c>
      <c r="AB252" s="201">
        <v>0</v>
      </c>
      <c r="AC252" s="225">
        <v>0</v>
      </c>
      <c r="AD252" s="253">
        <v>0</v>
      </c>
      <c r="AE252" s="52" t="s">
        <v>484</v>
      </c>
      <c r="AF252" s="5" t="s">
        <v>19</v>
      </c>
      <c r="AG252" s="193" t="s">
        <v>899</v>
      </c>
      <c r="AH252" s="193" t="s">
        <v>513</v>
      </c>
      <c r="AI252" s="104" t="s">
        <v>513</v>
      </c>
    </row>
    <row r="253" spans="1:35" s="388" customFormat="1" ht="30" x14ac:dyDescent="0.25">
      <c r="A253" s="127" t="s">
        <v>705</v>
      </c>
      <c r="B253" s="127" t="s">
        <v>1053</v>
      </c>
      <c r="C253" s="66">
        <v>2019</v>
      </c>
      <c r="D253" s="66" t="s">
        <v>498</v>
      </c>
      <c r="E253" s="66" t="s">
        <v>186</v>
      </c>
      <c r="F253" s="66" t="s">
        <v>186</v>
      </c>
      <c r="G253" s="145" t="s">
        <v>405</v>
      </c>
      <c r="H253" s="486">
        <v>492</v>
      </c>
      <c r="I253" s="129">
        <v>0</v>
      </c>
      <c r="J253" s="36">
        <v>0</v>
      </c>
      <c r="K253" s="1994">
        <v>324</v>
      </c>
      <c r="L253" s="1256">
        <v>0</v>
      </c>
      <c r="M253" s="1256">
        <v>0</v>
      </c>
      <c r="N253" s="268">
        <v>0</v>
      </c>
      <c r="O253" s="244">
        <v>0</v>
      </c>
      <c r="P253" s="236">
        <v>324</v>
      </c>
      <c r="Q253" s="244">
        <v>0</v>
      </c>
      <c r="R253" s="1550">
        <v>324</v>
      </c>
      <c r="S253" s="494">
        <v>0</v>
      </c>
      <c r="T253" s="1550">
        <f t="shared" si="16"/>
        <v>324</v>
      </c>
      <c r="U253" s="269">
        <v>0</v>
      </c>
      <c r="V253" s="207">
        <v>0</v>
      </c>
      <c r="W253" s="207">
        <v>0</v>
      </c>
      <c r="X253" s="22">
        <v>0</v>
      </c>
      <c r="Y253" s="264">
        <v>0</v>
      </c>
      <c r="Z253" s="262">
        <v>0</v>
      </c>
      <c r="AA253" s="34">
        <v>0</v>
      </c>
      <c r="AB253" s="207">
        <v>0</v>
      </c>
      <c r="AC253" s="244">
        <v>168</v>
      </c>
      <c r="AD253" s="262">
        <v>0</v>
      </c>
      <c r="AE253" s="113" t="s">
        <v>484</v>
      </c>
      <c r="AF253" s="66" t="s">
        <v>535</v>
      </c>
      <c r="AG253" s="210" t="s">
        <v>472</v>
      </c>
      <c r="AH253" s="210" t="s">
        <v>514</v>
      </c>
      <c r="AI253" s="65" t="s">
        <v>514</v>
      </c>
    </row>
    <row r="254" spans="1:35" s="354" customFormat="1" ht="26.25" thickBot="1" x14ac:dyDescent="0.3">
      <c r="A254" s="124" t="s">
        <v>706</v>
      </c>
      <c r="B254" s="124" t="s">
        <v>494</v>
      </c>
      <c r="C254" s="125">
        <v>2019</v>
      </c>
      <c r="D254" s="125" t="s">
        <v>498</v>
      </c>
      <c r="E254" s="125" t="s">
        <v>151</v>
      </c>
      <c r="F254" s="125" t="s">
        <v>151</v>
      </c>
      <c r="G254" s="429" t="s">
        <v>406</v>
      </c>
      <c r="H254" s="487">
        <v>4500</v>
      </c>
      <c r="I254" s="463">
        <v>0</v>
      </c>
      <c r="J254" s="46">
        <v>0</v>
      </c>
      <c r="K254" s="835">
        <v>0</v>
      </c>
      <c r="L254" s="835">
        <v>0</v>
      </c>
      <c r="M254" s="835">
        <v>0</v>
      </c>
      <c r="N254" s="1303">
        <v>0</v>
      </c>
      <c r="O254" s="498">
        <v>0</v>
      </c>
      <c r="P254" s="502">
        <v>0</v>
      </c>
      <c r="Q254" s="498">
        <v>0</v>
      </c>
      <c r="R254" s="1270">
        <v>0</v>
      </c>
      <c r="S254" s="1271">
        <v>0</v>
      </c>
      <c r="T254" s="1270">
        <f t="shared" si="16"/>
        <v>0</v>
      </c>
      <c r="U254" s="845">
        <v>0</v>
      </c>
      <c r="V254" s="203">
        <v>0</v>
      </c>
      <c r="W254" s="203">
        <v>3000</v>
      </c>
      <c r="X254" s="47">
        <v>1500</v>
      </c>
      <c r="Y254" s="265">
        <v>4500</v>
      </c>
      <c r="Z254" s="251">
        <v>0</v>
      </c>
      <c r="AA254" s="48">
        <v>0</v>
      </c>
      <c r="AB254" s="203">
        <v>0</v>
      </c>
      <c r="AC254" s="498">
        <v>0</v>
      </c>
      <c r="AD254" s="251">
        <v>0</v>
      </c>
      <c r="AE254" s="122" t="s">
        <v>484</v>
      </c>
      <c r="AF254" s="125" t="s">
        <v>19</v>
      </c>
      <c r="AG254" s="194" t="s">
        <v>899</v>
      </c>
      <c r="AH254" s="194" t="s">
        <v>513</v>
      </c>
      <c r="AI254" s="128" t="s">
        <v>513</v>
      </c>
    </row>
    <row r="255" spans="1:35" s="354" customFormat="1" ht="25.5" x14ac:dyDescent="0.25">
      <c r="A255" s="59" t="s">
        <v>707</v>
      </c>
      <c r="B255" s="59" t="s">
        <v>1054</v>
      </c>
      <c r="C255" s="4">
        <v>2019</v>
      </c>
      <c r="D255" s="4" t="s">
        <v>568</v>
      </c>
      <c r="E255" s="4" t="s">
        <v>178</v>
      </c>
      <c r="F255" s="119" t="s">
        <v>187</v>
      </c>
      <c r="G255" s="488" t="s">
        <v>406</v>
      </c>
      <c r="H255" s="399">
        <v>5218.49</v>
      </c>
      <c r="I255" s="639">
        <v>0</v>
      </c>
      <c r="J255" s="6">
        <v>24.2</v>
      </c>
      <c r="K255" s="412">
        <v>0</v>
      </c>
      <c r="L255" s="1248">
        <v>0</v>
      </c>
      <c r="M255" s="1248">
        <v>0</v>
      </c>
      <c r="N255" s="1305">
        <v>0</v>
      </c>
      <c r="O255" s="217">
        <v>24.2</v>
      </c>
      <c r="P255" s="503">
        <v>0</v>
      </c>
      <c r="Q255" s="217">
        <f>5218.49-24.2</f>
        <v>5194.29</v>
      </c>
      <c r="R255" s="1263">
        <v>5218.49</v>
      </c>
      <c r="S255" s="1262">
        <v>0</v>
      </c>
      <c r="T255" s="1263">
        <f t="shared" ref="T255:T285" si="17">R255+S255</f>
        <v>5218.49</v>
      </c>
      <c r="U255" s="849">
        <v>0</v>
      </c>
      <c r="V255" s="347">
        <v>0</v>
      </c>
      <c r="W255" s="347">
        <v>0</v>
      </c>
      <c r="X255" s="2">
        <v>0</v>
      </c>
      <c r="Y255" s="401">
        <v>0</v>
      </c>
      <c r="Z255" s="401">
        <v>0</v>
      </c>
      <c r="AA255" s="41">
        <v>0</v>
      </c>
      <c r="AB255" s="347">
        <v>0</v>
      </c>
      <c r="AC255" s="217">
        <v>0</v>
      </c>
      <c r="AD255" s="400">
        <v>0</v>
      </c>
      <c r="AE255" s="119" t="s">
        <v>484</v>
      </c>
      <c r="AF255" s="4" t="s">
        <v>43</v>
      </c>
      <c r="AG255" s="1657" t="s">
        <v>732</v>
      </c>
      <c r="AH255" s="1675" t="s">
        <v>514</v>
      </c>
      <c r="AI255" s="106" t="s">
        <v>514</v>
      </c>
    </row>
    <row r="256" spans="1:35" s="354" customFormat="1" ht="25.5" x14ac:dyDescent="0.25">
      <c r="A256" s="59" t="s">
        <v>708</v>
      </c>
      <c r="B256" s="59" t="s">
        <v>1055</v>
      </c>
      <c r="C256" s="4">
        <v>2019</v>
      </c>
      <c r="D256" s="5" t="s">
        <v>568</v>
      </c>
      <c r="E256" s="5" t="s">
        <v>547</v>
      </c>
      <c r="F256" s="52" t="s">
        <v>547</v>
      </c>
      <c r="G256" s="1676" t="s">
        <v>406</v>
      </c>
      <c r="H256" s="398">
        <f>6000+363.7865</f>
        <v>6363.7865000000002</v>
      </c>
      <c r="I256" s="61">
        <v>0</v>
      </c>
      <c r="J256" s="24">
        <v>0</v>
      </c>
      <c r="K256" s="412">
        <v>3617.0227500000001</v>
      </c>
      <c r="L256" s="1252">
        <v>2319.4913499999998</v>
      </c>
      <c r="M256" s="1252">
        <v>0</v>
      </c>
      <c r="N256" s="1302">
        <v>0</v>
      </c>
      <c r="O256" s="225">
        <v>0</v>
      </c>
      <c r="P256" s="202">
        <v>3617.0227500000001</v>
      </c>
      <c r="Q256" s="225">
        <v>2746.7637500000001</v>
      </c>
      <c r="R256" s="1268">
        <v>6363.7865000000002</v>
      </c>
      <c r="S256" s="1269">
        <v>0</v>
      </c>
      <c r="T256" s="1268">
        <f t="shared" si="17"/>
        <v>6363.7865000000002</v>
      </c>
      <c r="U256" s="850">
        <v>0</v>
      </c>
      <c r="V256" s="201">
        <v>0</v>
      </c>
      <c r="W256" s="201">
        <v>0</v>
      </c>
      <c r="X256" s="17">
        <v>0</v>
      </c>
      <c r="Y256" s="263">
        <v>0</v>
      </c>
      <c r="Z256" s="263">
        <v>0</v>
      </c>
      <c r="AA256" s="33">
        <v>0</v>
      </c>
      <c r="AB256" s="201">
        <v>0</v>
      </c>
      <c r="AC256" s="225">
        <v>0</v>
      </c>
      <c r="AD256" s="400">
        <v>0</v>
      </c>
      <c r="AE256" s="119" t="s">
        <v>484</v>
      </c>
      <c r="AF256" s="5" t="s">
        <v>43</v>
      </c>
      <c r="AG256" s="1657" t="s">
        <v>732</v>
      </c>
      <c r="AH256" s="193" t="s">
        <v>514</v>
      </c>
      <c r="AI256" s="104" t="s">
        <v>514</v>
      </c>
    </row>
    <row r="257" spans="1:35" s="354" customFormat="1" ht="26.25" thickBot="1" x14ac:dyDescent="0.3">
      <c r="A257" s="128" t="s">
        <v>642</v>
      </c>
      <c r="B257" s="62" t="s">
        <v>1056</v>
      </c>
      <c r="C257" s="125">
        <v>2019</v>
      </c>
      <c r="D257" s="125" t="s">
        <v>568</v>
      </c>
      <c r="E257" s="125" t="s">
        <v>11</v>
      </c>
      <c r="F257" s="122" t="s">
        <v>548</v>
      </c>
      <c r="G257" s="1234" t="s">
        <v>549</v>
      </c>
      <c r="H257" s="251">
        <v>50000</v>
      </c>
      <c r="I257" s="49">
        <v>0</v>
      </c>
      <c r="J257" s="46">
        <v>0</v>
      </c>
      <c r="K257" s="835">
        <v>0</v>
      </c>
      <c r="L257" s="835">
        <v>0</v>
      </c>
      <c r="M257" s="835">
        <v>0</v>
      </c>
      <c r="N257" s="1303">
        <v>0</v>
      </c>
      <c r="O257" s="498">
        <v>0</v>
      </c>
      <c r="P257" s="502">
        <v>0</v>
      </c>
      <c r="Q257" s="498">
        <v>0</v>
      </c>
      <c r="R257" s="1270">
        <v>0</v>
      </c>
      <c r="S257" s="1271">
        <v>0</v>
      </c>
      <c r="T257" s="1270">
        <f t="shared" si="17"/>
        <v>0</v>
      </c>
      <c r="U257" s="203">
        <v>0</v>
      </c>
      <c r="V257" s="203">
        <v>0</v>
      </c>
      <c r="W257" s="203">
        <v>1600</v>
      </c>
      <c r="X257" s="47">
        <v>0</v>
      </c>
      <c r="Y257" s="265">
        <v>1600</v>
      </c>
      <c r="Z257" s="265">
        <v>48400</v>
      </c>
      <c r="AA257" s="48">
        <v>0</v>
      </c>
      <c r="AB257" s="203">
        <v>0</v>
      </c>
      <c r="AC257" s="498">
        <v>0</v>
      </c>
      <c r="AD257" s="251">
        <v>0</v>
      </c>
      <c r="AE257" s="122" t="s">
        <v>484</v>
      </c>
      <c r="AF257" s="125" t="s">
        <v>19</v>
      </c>
      <c r="AG257" s="194" t="s">
        <v>1006</v>
      </c>
      <c r="AH257" s="194" t="s">
        <v>513</v>
      </c>
      <c r="AI257" s="128" t="s">
        <v>513</v>
      </c>
    </row>
    <row r="258" spans="1:35" s="354" customFormat="1" ht="25.5" x14ac:dyDescent="0.25">
      <c r="A258" s="107" t="s">
        <v>711</v>
      </c>
      <c r="B258" s="62" t="s">
        <v>1057</v>
      </c>
      <c r="C258" s="53">
        <v>2019</v>
      </c>
      <c r="D258" s="4" t="s">
        <v>989</v>
      </c>
      <c r="E258" s="53" t="s">
        <v>712</v>
      </c>
      <c r="F258" s="123" t="s">
        <v>712</v>
      </c>
      <c r="G258" s="1241" t="s">
        <v>713</v>
      </c>
      <c r="H258" s="397">
        <v>8890</v>
      </c>
      <c r="I258" s="3">
        <v>0</v>
      </c>
      <c r="J258" s="6">
        <v>0</v>
      </c>
      <c r="K258" s="412">
        <v>0</v>
      </c>
      <c r="L258" s="1248">
        <v>0</v>
      </c>
      <c r="M258" s="1248">
        <v>0</v>
      </c>
      <c r="N258" s="1305">
        <v>0</v>
      </c>
      <c r="O258" s="217">
        <v>0</v>
      </c>
      <c r="P258" s="503">
        <v>0</v>
      </c>
      <c r="Q258" s="217">
        <v>4208</v>
      </c>
      <c r="R258" s="1263">
        <v>4208</v>
      </c>
      <c r="S258" s="1262">
        <v>0</v>
      </c>
      <c r="T258" s="1263">
        <f t="shared" si="17"/>
        <v>4208</v>
      </c>
      <c r="U258" s="849">
        <v>0</v>
      </c>
      <c r="V258" s="347">
        <v>0</v>
      </c>
      <c r="W258" s="347">
        <v>4682</v>
      </c>
      <c r="X258" s="2">
        <v>0</v>
      </c>
      <c r="Y258" s="837">
        <v>4682</v>
      </c>
      <c r="Z258" s="837">
        <v>0</v>
      </c>
      <c r="AA258" s="51">
        <v>0</v>
      </c>
      <c r="AB258" s="267">
        <v>0</v>
      </c>
      <c r="AC258" s="499">
        <v>0</v>
      </c>
      <c r="AD258" s="2084">
        <v>0</v>
      </c>
      <c r="AE258" s="123" t="s">
        <v>1392</v>
      </c>
      <c r="AF258" s="53" t="s">
        <v>13</v>
      </c>
      <c r="AG258" s="196" t="s">
        <v>732</v>
      </c>
      <c r="AH258" s="196" t="s">
        <v>513</v>
      </c>
      <c r="AI258" s="107" t="s">
        <v>513</v>
      </c>
    </row>
    <row r="259" spans="1:35" s="388" customFormat="1" ht="25.5" x14ac:dyDescent="0.25">
      <c r="A259" s="127" t="s">
        <v>714</v>
      </c>
      <c r="B259" s="127" t="s">
        <v>853</v>
      </c>
      <c r="C259" s="66">
        <v>2019</v>
      </c>
      <c r="D259" s="73" t="s">
        <v>989</v>
      </c>
      <c r="E259" s="66" t="s">
        <v>715</v>
      </c>
      <c r="F259" s="66" t="s">
        <v>715</v>
      </c>
      <c r="G259" s="164" t="s">
        <v>716</v>
      </c>
      <c r="H259" s="486">
        <v>650</v>
      </c>
      <c r="I259" s="129">
        <v>0</v>
      </c>
      <c r="J259" s="21">
        <v>350</v>
      </c>
      <c r="K259" s="1994">
        <v>0</v>
      </c>
      <c r="L259" s="166">
        <v>0</v>
      </c>
      <c r="M259" s="1256">
        <v>0</v>
      </c>
      <c r="N259" s="268">
        <v>0</v>
      </c>
      <c r="O259" s="897">
        <v>350</v>
      </c>
      <c r="P259" s="506">
        <v>0</v>
      </c>
      <c r="Q259" s="277">
        <v>0</v>
      </c>
      <c r="R259" s="1550">
        <v>350</v>
      </c>
      <c r="S259" s="494">
        <v>0</v>
      </c>
      <c r="T259" s="1550">
        <f t="shared" si="17"/>
        <v>350</v>
      </c>
      <c r="U259" s="269">
        <v>0</v>
      </c>
      <c r="V259" s="207">
        <v>0</v>
      </c>
      <c r="W259" s="207">
        <v>0</v>
      </c>
      <c r="X259" s="22">
        <v>0</v>
      </c>
      <c r="Y259" s="264">
        <v>0</v>
      </c>
      <c r="Z259" s="264">
        <v>0</v>
      </c>
      <c r="AA259" s="34">
        <v>0</v>
      </c>
      <c r="AB259" s="207">
        <v>0</v>
      </c>
      <c r="AC259" s="244">
        <v>300</v>
      </c>
      <c r="AD259" s="262">
        <v>0</v>
      </c>
      <c r="AE259" s="113" t="s">
        <v>484</v>
      </c>
      <c r="AF259" s="66" t="s">
        <v>535</v>
      </c>
      <c r="AG259" s="210" t="s">
        <v>455</v>
      </c>
      <c r="AH259" s="657" t="s">
        <v>514</v>
      </c>
      <c r="AI259" s="485" t="s">
        <v>514</v>
      </c>
    </row>
    <row r="260" spans="1:35" s="388" customFormat="1" ht="25.5" x14ac:dyDescent="0.25">
      <c r="A260" s="127" t="s">
        <v>717</v>
      </c>
      <c r="B260" s="127" t="s">
        <v>1058</v>
      </c>
      <c r="C260" s="66">
        <v>2019</v>
      </c>
      <c r="D260" s="73" t="s">
        <v>989</v>
      </c>
      <c r="E260" s="73" t="s">
        <v>11</v>
      </c>
      <c r="F260" s="118" t="s">
        <v>718</v>
      </c>
      <c r="G260" s="1040" t="s">
        <v>719</v>
      </c>
      <c r="H260" s="1026">
        <v>1918.9469999999999</v>
      </c>
      <c r="I260" s="643">
        <v>0</v>
      </c>
      <c r="J260" s="36">
        <v>1918.9469999999999</v>
      </c>
      <c r="K260" s="1994">
        <v>0</v>
      </c>
      <c r="L260" s="166">
        <v>0</v>
      </c>
      <c r="M260" s="166">
        <v>0</v>
      </c>
      <c r="N260" s="268">
        <v>0</v>
      </c>
      <c r="O260" s="335">
        <v>1918.9469999999999</v>
      </c>
      <c r="P260" s="506">
        <v>0</v>
      </c>
      <c r="Q260" s="277">
        <v>0</v>
      </c>
      <c r="R260" s="1550">
        <v>1918.9469999999999</v>
      </c>
      <c r="S260" s="494">
        <v>0</v>
      </c>
      <c r="T260" s="1550">
        <f t="shared" si="17"/>
        <v>1918.9469999999999</v>
      </c>
      <c r="U260" s="718">
        <v>0</v>
      </c>
      <c r="V260" s="535">
        <v>0</v>
      </c>
      <c r="W260" s="535">
        <v>0</v>
      </c>
      <c r="X260" s="40">
        <v>0</v>
      </c>
      <c r="Y260" s="1041">
        <v>0</v>
      </c>
      <c r="Z260" s="1041">
        <v>0</v>
      </c>
      <c r="AA260" s="79">
        <v>0</v>
      </c>
      <c r="AB260" s="535">
        <v>0</v>
      </c>
      <c r="AC260" s="277">
        <v>0</v>
      </c>
      <c r="AD260" s="1696">
        <v>0</v>
      </c>
      <c r="AE260" s="118" t="s">
        <v>484</v>
      </c>
      <c r="AF260" s="73" t="s">
        <v>535</v>
      </c>
      <c r="AG260" s="657" t="s">
        <v>531</v>
      </c>
      <c r="AH260" s="210" t="s">
        <v>514</v>
      </c>
      <c r="AI260" s="65" t="s">
        <v>514</v>
      </c>
    </row>
    <row r="261" spans="1:35" s="388" customFormat="1" ht="39" thickBot="1" x14ac:dyDescent="0.3">
      <c r="A261" s="669" t="s">
        <v>751</v>
      </c>
      <c r="B261" s="669" t="s">
        <v>1059</v>
      </c>
      <c r="C261" s="670">
        <v>2019</v>
      </c>
      <c r="D261" s="670" t="s">
        <v>989</v>
      </c>
      <c r="E261" s="670" t="s">
        <v>720</v>
      </c>
      <c r="F261" s="670" t="s">
        <v>720</v>
      </c>
      <c r="G261" s="671" t="s">
        <v>721</v>
      </c>
      <c r="H261" s="1677">
        <v>2876.223</v>
      </c>
      <c r="I261" s="1678">
        <v>0</v>
      </c>
      <c r="J261" s="381">
        <v>84.494</v>
      </c>
      <c r="K261" s="1284">
        <v>2791.7289999999998</v>
      </c>
      <c r="L261" s="1753">
        <v>0</v>
      </c>
      <c r="M261" s="1753">
        <v>0</v>
      </c>
      <c r="N261" s="1679">
        <v>0</v>
      </c>
      <c r="O261" s="1680">
        <v>84.494</v>
      </c>
      <c r="P261" s="673">
        <v>2791.7289999999998</v>
      </c>
      <c r="Q261" s="672">
        <v>0</v>
      </c>
      <c r="R261" s="1592">
        <v>3026</v>
      </c>
      <c r="S261" s="1593">
        <v>-149.77699999999999</v>
      </c>
      <c r="T261" s="1592">
        <f t="shared" si="17"/>
        <v>2876.223</v>
      </c>
      <c r="U261" s="1681">
        <v>0</v>
      </c>
      <c r="V261" s="1682">
        <v>0</v>
      </c>
      <c r="W261" s="1682">
        <v>0</v>
      </c>
      <c r="X261" s="1683">
        <v>0</v>
      </c>
      <c r="Y261" s="1684">
        <v>0</v>
      </c>
      <c r="Z261" s="1684">
        <v>0</v>
      </c>
      <c r="AA261" s="1685">
        <v>0</v>
      </c>
      <c r="AB261" s="1682">
        <v>0</v>
      </c>
      <c r="AC261" s="1680">
        <v>0</v>
      </c>
      <c r="AD261" s="2085">
        <v>0</v>
      </c>
      <c r="AE261" s="468" t="s">
        <v>1393</v>
      </c>
      <c r="AF261" s="1686" t="s">
        <v>535</v>
      </c>
      <c r="AG261" s="1687" t="s">
        <v>540</v>
      </c>
      <c r="AH261" s="1688" t="s">
        <v>514</v>
      </c>
      <c r="AI261" s="1689" t="s">
        <v>514</v>
      </c>
    </row>
    <row r="262" spans="1:35" s="354" customFormat="1" ht="25.5" x14ac:dyDescent="0.25">
      <c r="A262" s="1029" t="s">
        <v>854</v>
      </c>
      <c r="B262" s="1029" t="s">
        <v>1060</v>
      </c>
      <c r="C262" s="414">
        <v>2019</v>
      </c>
      <c r="D262" s="414" t="s">
        <v>969</v>
      </c>
      <c r="E262" s="414" t="s">
        <v>187</v>
      </c>
      <c r="F262" s="414" t="s">
        <v>187</v>
      </c>
      <c r="G262" s="1030" t="s">
        <v>855</v>
      </c>
      <c r="H262" s="1031">
        <v>5958.04</v>
      </c>
      <c r="I262" s="1032">
        <v>0</v>
      </c>
      <c r="J262" s="329">
        <v>0</v>
      </c>
      <c r="K262" s="1916">
        <v>3169.91428</v>
      </c>
      <c r="L262" s="1690">
        <v>2607.83572</v>
      </c>
      <c r="M262" s="1690">
        <v>0</v>
      </c>
      <c r="N262" s="1691">
        <v>0</v>
      </c>
      <c r="O262" s="1033">
        <v>0</v>
      </c>
      <c r="P262" s="1034">
        <f>24.2+3145.71428</f>
        <v>3169.91428</v>
      </c>
      <c r="Q262" s="1033">
        <v>2788.12572</v>
      </c>
      <c r="R262" s="1692">
        <v>5837.04</v>
      </c>
      <c r="S262" s="1693">
        <v>121</v>
      </c>
      <c r="T262" s="1692">
        <f t="shared" si="17"/>
        <v>5958.04</v>
      </c>
      <c r="U262" s="1035">
        <v>0</v>
      </c>
      <c r="V262" s="1036">
        <v>0</v>
      </c>
      <c r="W262" s="1036">
        <v>0</v>
      </c>
      <c r="X262" s="647">
        <v>0</v>
      </c>
      <c r="Y262" s="1042">
        <v>0</v>
      </c>
      <c r="Z262" s="1043">
        <v>0</v>
      </c>
      <c r="AA262" s="1045">
        <v>0</v>
      </c>
      <c r="AB262" s="1036">
        <v>0</v>
      </c>
      <c r="AC262" s="1033">
        <v>0</v>
      </c>
      <c r="AD262" s="1043">
        <v>0</v>
      </c>
      <c r="AE262" s="282" t="s">
        <v>1394</v>
      </c>
      <c r="AF262" s="414" t="s">
        <v>43</v>
      </c>
      <c r="AG262" s="1694" t="s">
        <v>732</v>
      </c>
      <c r="AH262" s="1044" t="s">
        <v>514</v>
      </c>
      <c r="AI262" s="1037" t="s">
        <v>514</v>
      </c>
    </row>
    <row r="263" spans="1:35" s="354" customFormat="1" ht="25.5" x14ac:dyDescent="0.25">
      <c r="A263" s="59" t="s">
        <v>856</v>
      </c>
      <c r="B263" s="59" t="s">
        <v>1061</v>
      </c>
      <c r="C263" s="4">
        <v>2019</v>
      </c>
      <c r="D263" s="4" t="s">
        <v>969</v>
      </c>
      <c r="E263" s="4" t="s">
        <v>857</v>
      </c>
      <c r="F263" s="4" t="s">
        <v>857</v>
      </c>
      <c r="G263" s="1695" t="s">
        <v>858</v>
      </c>
      <c r="H263" s="399">
        <v>1700</v>
      </c>
      <c r="I263" s="639">
        <v>0</v>
      </c>
      <c r="J263" s="24">
        <v>0</v>
      </c>
      <c r="K263" s="412">
        <v>849.00015000000008</v>
      </c>
      <c r="L263" s="782">
        <v>262.58936999999997</v>
      </c>
      <c r="M263" s="782">
        <v>0</v>
      </c>
      <c r="N263" s="1305">
        <v>0</v>
      </c>
      <c r="O263" s="217">
        <v>0</v>
      </c>
      <c r="P263" s="503">
        <f>379.509+469.49115</f>
        <v>849.00015000000008</v>
      </c>
      <c r="Q263" s="225">
        <f>1700-379.509-469.49115</f>
        <v>850.99984999999992</v>
      </c>
      <c r="R263" s="1268">
        <v>1700</v>
      </c>
      <c r="S263" s="1269">
        <v>0</v>
      </c>
      <c r="T263" s="1268">
        <f t="shared" si="17"/>
        <v>1700</v>
      </c>
      <c r="U263" s="849">
        <v>0</v>
      </c>
      <c r="V263" s="347">
        <v>0</v>
      </c>
      <c r="W263" s="347">
        <v>0</v>
      </c>
      <c r="X263" s="2">
        <v>0</v>
      </c>
      <c r="Y263" s="489">
        <v>0</v>
      </c>
      <c r="Z263" s="400">
        <v>0</v>
      </c>
      <c r="AA263" s="41">
        <v>0</v>
      </c>
      <c r="AB263" s="347">
        <v>0</v>
      </c>
      <c r="AC263" s="217">
        <v>0</v>
      </c>
      <c r="AD263" s="400">
        <v>0</v>
      </c>
      <c r="AE263" s="119" t="s">
        <v>484</v>
      </c>
      <c r="AF263" s="4" t="s">
        <v>43</v>
      </c>
      <c r="AG263" s="192" t="s">
        <v>732</v>
      </c>
      <c r="AH263" s="192" t="s">
        <v>514</v>
      </c>
      <c r="AI263" s="106" t="s">
        <v>514</v>
      </c>
    </row>
    <row r="264" spans="1:35" s="354" customFormat="1" ht="25.5" x14ac:dyDescent="0.25">
      <c r="A264" s="59" t="s">
        <v>967</v>
      </c>
      <c r="B264" s="59" t="s">
        <v>1062</v>
      </c>
      <c r="C264" s="4">
        <v>2020</v>
      </c>
      <c r="D264" s="4" t="s">
        <v>990</v>
      </c>
      <c r="E264" s="4" t="s">
        <v>357</v>
      </c>
      <c r="F264" s="136" t="s">
        <v>357</v>
      </c>
      <c r="G264" s="1695" t="s">
        <v>1148</v>
      </c>
      <c r="H264" s="399">
        <v>3500</v>
      </c>
      <c r="I264" s="639">
        <v>0</v>
      </c>
      <c r="J264" s="16">
        <v>0</v>
      </c>
      <c r="K264" s="412">
        <v>96.8</v>
      </c>
      <c r="L264" s="782">
        <v>2501.2722199999998</v>
      </c>
      <c r="M264" s="782">
        <v>0</v>
      </c>
      <c r="N264" s="1305">
        <v>0</v>
      </c>
      <c r="O264" s="331">
        <v>0</v>
      </c>
      <c r="P264" s="347">
        <v>96.8</v>
      </c>
      <c r="Q264" s="27">
        <v>3403.2</v>
      </c>
      <c r="R264" s="1268">
        <v>3500</v>
      </c>
      <c r="S264" s="1269">
        <v>0</v>
      </c>
      <c r="T264" s="1268">
        <f t="shared" si="17"/>
        <v>3500</v>
      </c>
      <c r="U264" s="849">
        <v>0</v>
      </c>
      <c r="V264" s="347">
        <v>0</v>
      </c>
      <c r="W264" s="347">
        <v>0</v>
      </c>
      <c r="X264" s="2">
        <v>0</v>
      </c>
      <c r="Y264" s="489">
        <v>0</v>
      </c>
      <c r="Z264" s="400">
        <v>0</v>
      </c>
      <c r="AA264" s="41">
        <v>0</v>
      </c>
      <c r="AB264" s="347">
        <v>0</v>
      </c>
      <c r="AC264" s="217">
        <v>0</v>
      </c>
      <c r="AD264" s="400">
        <v>0</v>
      </c>
      <c r="AE264" s="119" t="s">
        <v>484</v>
      </c>
      <c r="AF264" s="4" t="s">
        <v>43</v>
      </c>
      <c r="AG264" s="192" t="s">
        <v>732</v>
      </c>
      <c r="AH264" s="192" t="s">
        <v>514</v>
      </c>
      <c r="AI264" s="106" t="s">
        <v>514</v>
      </c>
    </row>
    <row r="265" spans="1:35" s="388" customFormat="1" ht="25.5" x14ac:dyDescent="0.25">
      <c r="A265" s="163" t="s">
        <v>1063</v>
      </c>
      <c r="B265" s="163" t="s">
        <v>1149</v>
      </c>
      <c r="C265" s="73">
        <v>2020</v>
      </c>
      <c r="D265" s="73" t="s">
        <v>1213</v>
      </c>
      <c r="E265" s="538" t="s">
        <v>187</v>
      </c>
      <c r="F265" s="538" t="s">
        <v>187</v>
      </c>
      <c r="G265" s="1233" t="s">
        <v>1064</v>
      </c>
      <c r="H265" s="1026">
        <v>277.4409</v>
      </c>
      <c r="I265" s="643">
        <v>0</v>
      </c>
      <c r="J265" s="290">
        <v>0</v>
      </c>
      <c r="K265" s="1994">
        <v>277.4409</v>
      </c>
      <c r="L265" s="1618">
        <v>0</v>
      </c>
      <c r="M265" s="1618">
        <v>0</v>
      </c>
      <c r="N265" s="718">
        <v>0</v>
      </c>
      <c r="O265" s="483">
        <v>0</v>
      </c>
      <c r="P265" s="535">
        <v>277.4409</v>
      </c>
      <c r="Q265" s="76">
        <v>0</v>
      </c>
      <c r="R265" s="1550">
        <v>277.4409</v>
      </c>
      <c r="S265" s="494">
        <v>0</v>
      </c>
      <c r="T265" s="1550">
        <f t="shared" si="17"/>
        <v>277.4409</v>
      </c>
      <c r="U265" s="718">
        <v>0</v>
      </c>
      <c r="V265" s="535">
        <v>0</v>
      </c>
      <c r="W265" s="535">
        <v>0</v>
      </c>
      <c r="X265" s="40">
        <v>0</v>
      </c>
      <c r="Y265" s="1041">
        <v>0</v>
      </c>
      <c r="Z265" s="1696">
        <v>0</v>
      </c>
      <c r="AA265" s="79">
        <v>0</v>
      </c>
      <c r="AB265" s="535">
        <v>0</v>
      </c>
      <c r="AC265" s="277">
        <v>0</v>
      </c>
      <c r="AD265" s="1696">
        <v>0</v>
      </c>
      <c r="AE265" s="118" t="s">
        <v>484</v>
      </c>
      <c r="AF265" s="73" t="s">
        <v>535</v>
      </c>
      <c r="AG265" s="657" t="s">
        <v>540</v>
      </c>
      <c r="AH265" s="657" t="s">
        <v>514</v>
      </c>
      <c r="AI265" s="485" t="s">
        <v>514</v>
      </c>
    </row>
    <row r="266" spans="1:35" s="388" customFormat="1" ht="25.5" x14ac:dyDescent="0.25">
      <c r="A266" s="163" t="s">
        <v>1065</v>
      </c>
      <c r="B266" s="163" t="s">
        <v>1150</v>
      </c>
      <c r="C266" s="73">
        <v>2020</v>
      </c>
      <c r="D266" s="73" t="s">
        <v>1213</v>
      </c>
      <c r="E266" s="134" t="s">
        <v>187</v>
      </c>
      <c r="F266" s="134" t="s">
        <v>187</v>
      </c>
      <c r="G266" s="145" t="s">
        <v>1116</v>
      </c>
      <c r="H266" s="1026">
        <v>86.807580000000002</v>
      </c>
      <c r="I266" s="129">
        <v>0</v>
      </c>
      <c r="J266" s="36">
        <v>0</v>
      </c>
      <c r="K266" s="1994">
        <v>86.807580000000002</v>
      </c>
      <c r="L266" s="1256">
        <v>0</v>
      </c>
      <c r="M266" s="1256">
        <v>0</v>
      </c>
      <c r="N266" s="269">
        <v>0</v>
      </c>
      <c r="O266" s="206">
        <v>0</v>
      </c>
      <c r="P266" s="207">
        <v>86.807580000000002</v>
      </c>
      <c r="Q266" s="38">
        <v>0</v>
      </c>
      <c r="R266" s="1550">
        <v>86.807580000000002</v>
      </c>
      <c r="S266" s="494">
        <v>0</v>
      </c>
      <c r="T266" s="1550">
        <f t="shared" si="17"/>
        <v>86.807580000000002</v>
      </c>
      <c r="U266" s="269">
        <v>0</v>
      </c>
      <c r="V266" s="207">
        <v>0</v>
      </c>
      <c r="W266" s="207">
        <v>0</v>
      </c>
      <c r="X266" s="22">
        <v>0</v>
      </c>
      <c r="Y266" s="264">
        <v>0</v>
      </c>
      <c r="Z266" s="262">
        <v>0</v>
      </c>
      <c r="AA266" s="79">
        <v>0</v>
      </c>
      <c r="AB266" s="535">
        <v>0</v>
      </c>
      <c r="AC266" s="244">
        <v>0</v>
      </c>
      <c r="AD266" s="1696">
        <v>0</v>
      </c>
      <c r="AE266" s="118" t="s">
        <v>484</v>
      </c>
      <c r="AF266" s="73" t="s">
        <v>535</v>
      </c>
      <c r="AG266" s="657" t="s">
        <v>540</v>
      </c>
      <c r="AH266" s="657" t="s">
        <v>514</v>
      </c>
      <c r="AI266" s="485" t="s">
        <v>514</v>
      </c>
    </row>
    <row r="267" spans="1:35" s="354" customFormat="1" ht="25.5" x14ac:dyDescent="0.25">
      <c r="A267" s="59" t="s">
        <v>1066</v>
      </c>
      <c r="B267" s="59" t="s">
        <v>1151</v>
      </c>
      <c r="C267" s="4">
        <v>2020</v>
      </c>
      <c r="D267" s="4" t="s">
        <v>1213</v>
      </c>
      <c r="E267" s="5" t="s">
        <v>187</v>
      </c>
      <c r="F267" s="133" t="s">
        <v>187</v>
      </c>
      <c r="G267" s="417" t="s">
        <v>1067</v>
      </c>
      <c r="H267" s="399">
        <v>4301.1480600000004</v>
      </c>
      <c r="I267" s="61">
        <v>0</v>
      </c>
      <c r="J267" s="24">
        <v>0</v>
      </c>
      <c r="K267" s="412">
        <v>1293.9529600000001</v>
      </c>
      <c r="L267" s="1252">
        <v>0</v>
      </c>
      <c r="M267" s="1252">
        <v>0</v>
      </c>
      <c r="N267" s="850">
        <v>0</v>
      </c>
      <c r="O267" s="155">
        <v>0</v>
      </c>
      <c r="P267" s="201">
        <v>1293.9529600000001</v>
      </c>
      <c r="Q267" s="29">
        <f>4301.14806-1293.95296</f>
        <v>3007.1951000000004</v>
      </c>
      <c r="R267" s="1268">
        <v>4301.1480600000004</v>
      </c>
      <c r="S267" s="1269">
        <v>0</v>
      </c>
      <c r="T267" s="1268">
        <f t="shared" si="17"/>
        <v>4301.1480600000004</v>
      </c>
      <c r="U267" s="850">
        <v>0</v>
      </c>
      <c r="V267" s="201">
        <v>0</v>
      </c>
      <c r="W267" s="201">
        <v>0</v>
      </c>
      <c r="X267" s="17">
        <v>0</v>
      </c>
      <c r="Y267" s="263">
        <v>0</v>
      </c>
      <c r="Z267" s="253">
        <v>0</v>
      </c>
      <c r="AA267" s="41">
        <v>0</v>
      </c>
      <c r="AB267" s="347">
        <v>0</v>
      </c>
      <c r="AC267" s="225">
        <v>0</v>
      </c>
      <c r="AD267" s="400">
        <v>0</v>
      </c>
      <c r="AE267" s="119" t="s">
        <v>484</v>
      </c>
      <c r="AF267" s="4" t="s">
        <v>43</v>
      </c>
      <c r="AG267" s="1675" t="s">
        <v>732</v>
      </c>
      <c r="AH267" s="192" t="s">
        <v>514</v>
      </c>
      <c r="AI267" s="106" t="s">
        <v>513</v>
      </c>
    </row>
    <row r="268" spans="1:35" s="354" customFormat="1" ht="30" x14ac:dyDescent="0.25">
      <c r="A268" s="59" t="s">
        <v>1068</v>
      </c>
      <c r="B268" s="59" t="s">
        <v>494</v>
      </c>
      <c r="C268" s="4">
        <v>2020</v>
      </c>
      <c r="D268" s="4" t="s">
        <v>1213</v>
      </c>
      <c r="E268" s="5" t="s">
        <v>176</v>
      </c>
      <c r="F268" s="133" t="s">
        <v>176</v>
      </c>
      <c r="G268" s="417" t="s">
        <v>1069</v>
      </c>
      <c r="H268" s="399">
        <v>950</v>
      </c>
      <c r="I268" s="61">
        <v>0</v>
      </c>
      <c r="J268" s="24">
        <v>0</v>
      </c>
      <c r="K268" s="412">
        <v>0</v>
      </c>
      <c r="L268" s="1252">
        <v>0</v>
      </c>
      <c r="M268" s="1252">
        <v>0</v>
      </c>
      <c r="N268" s="850">
        <v>0</v>
      </c>
      <c r="O268" s="155">
        <v>0</v>
      </c>
      <c r="P268" s="201">
        <v>0</v>
      </c>
      <c r="Q268" s="29">
        <v>0</v>
      </c>
      <c r="R268" s="1268">
        <v>0</v>
      </c>
      <c r="S268" s="1269">
        <v>0</v>
      </c>
      <c r="T268" s="1268">
        <f t="shared" si="17"/>
        <v>0</v>
      </c>
      <c r="U268" s="850">
        <v>0</v>
      </c>
      <c r="V268" s="201">
        <v>0</v>
      </c>
      <c r="W268" s="201">
        <v>950</v>
      </c>
      <c r="X268" s="17">
        <v>0</v>
      </c>
      <c r="Y268" s="263">
        <v>950</v>
      </c>
      <c r="Z268" s="253">
        <v>0</v>
      </c>
      <c r="AA268" s="41">
        <v>0</v>
      </c>
      <c r="AB268" s="347">
        <v>0</v>
      </c>
      <c r="AC268" s="225">
        <v>0</v>
      </c>
      <c r="AD268" s="400">
        <v>0</v>
      </c>
      <c r="AE268" s="119" t="s">
        <v>484</v>
      </c>
      <c r="AF268" s="4" t="s">
        <v>19</v>
      </c>
      <c r="AG268" s="192" t="s">
        <v>904</v>
      </c>
      <c r="AH268" s="192" t="s">
        <v>513</v>
      </c>
      <c r="AI268" s="106" t="s">
        <v>513</v>
      </c>
    </row>
    <row r="269" spans="1:35" s="354" customFormat="1" ht="25.5" x14ac:dyDescent="0.25">
      <c r="A269" s="1001" t="s">
        <v>1070</v>
      </c>
      <c r="B269" s="1001" t="s">
        <v>1152</v>
      </c>
      <c r="C269" s="453">
        <v>2020</v>
      </c>
      <c r="D269" s="453" t="s">
        <v>1213</v>
      </c>
      <c r="E269" s="454" t="s">
        <v>176</v>
      </c>
      <c r="F269" s="591" t="s">
        <v>176</v>
      </c>
      <c r="G269" s="1027" t="s">
        <v>1071</v>
      </c>
      <c r="H269" s="1046">
        <f>25000+595.95909+511.9191818</f>
        <v>26107.8782718</v>
      </c>
      <c r="I269" s="628">
        <v>0</v>
      </c>
      <c r="J269" s="552">
        <v>0</v>
      </c>
      <c r="K269" s="1901">
        <v>0</v>
      </c>
      <c r="L269" s="1539">
        <v>0</v>
      </c>
      <c r="M269" s="1539">
        <v>80</v>
      </c>
      <c r="N269" s="919">
        <v>0</v>
      </c>
      <c r="O269" s="1096">
        <v>0</v>
      </c>
      <c r="P269" s="920">
        <v>0</v>
      </c>
      <c r="Q269" s="547">
        <v>4000</v>
      </c>
      <c r="R269" s="1449">
        <v>10000</v>
      </c>
      <c r="S269" s="1450">
        <v>-6000</v>
      </c>
      <c r="T269" s="1449">
        <f t="shared" si="17"/>
        <v>4000</v>
      </c>
      <c r="U269" s="919">
        <v>4500</v>
      </c>
      <c r="V269" s="920">
        <v>4500</v>
      </c>
      <c r="W269" s="920">
        <v>5000</v>
      </c>
      <c r="X269" s="921">
        <v>7000</v>
      </c>
      <c r="Y269" s="922">
        <v>21000</v>
      </c>
      <c r="Z269" s="947">
        <v>0</v>
      </c>
      <c r="AA269" s="553">
        <f>595.95909+511.9191818</f>
        <v>1107.8782718</v>
      </c>
      <c r="AB269" s="907">
        <v>0</v>
      </c>
      <c r="AC269" s="608">
        <v>0</v>
      </c>
      <c r="AD269" s="2086">
        <v>0</v>
      </c>
      <c r="AE269" s="574" t="s">
        <v>1395</v>
      </c>
      <c r="AF269" s="453" t="s">
        <v>13</v>
      </c>
      <c r="AG269" s="1047" t="s">
        <v>836</v>
      </c>
      <c r="AH269" s="1047" t="s">
        <v>513</v>
      </c>
      <c r="AI269" s="1048" t="s">
        <v>513</v>
      </c>
    </row>
    <row r="270" spans="1:35" s="354" customFormat="1" ht="25.5" x14ac:dyDescent="0.25">
      <c r="A270" s="59" t="s">
        <v>1072</v>
      </c>
      <c r="B270" s="59" t="s">
        <v>494</v>
      </c>
      <c r="C270" s="4">
        <v>2020</v>
      </c>
      <c r="D270" s="4" t="s">
        <v>1213</v>
      </c>
      <c r="E270" s="5" t="s">
        <v>1073</v>
      </c>
      <c r="F270" s="133" t="s">
        <v>1073</v>
      </c>
      <c r="G270" s="417" t="s">
        <v>1074</v>
      </c>
      <c r="H270" s="399">
        <v>550</v>
      </c>
      <c r="I270" s="61">
        <v>0</v>
      </c>
      <c r="J270" s="24">
        <v>0</v>
      </c>
      <c r="K270" s="412">
        <v>0</v>
      </c>
      <c r="L270" s="1252">
        <v>0</v>
      </c>
      <c r="M270" s="1252">
        <v>0</v>
      </c>
      <c r="N270" s="850">
        <v>0</v>
      </c>
      <c r="O270" s="155">
        <v>0</v>
      </c>
      <c r="P270" s="201">
        <v>0</v>
      </c>
      <c r="Q270" s="29">
        <v>0</v>
      </c>
      <c r="R270" s="1268">
        <v>0</v>
      </c>
      <c r="S270" s="1269">
        <v>0</v>
      </c>
      <c r="T270" s="1268">
        <f t="shared" si="17"/>
        <v>0</v>
      </c>
      <c r="U270" s="850">
        <v>0</v>
      </c>
      <c r="V270" s="201">
        <v>0</v>
      </c>
      <c r="W270" s="201">
        <v>550</v>
      </c>
      <c r="X270" s="17">
        <v>0</v>
      </c>
      <c r="Y270" s="263">
        <v>550</v>
      </c>
      <c r="Z270" s="253">
        <v>0</v>
      </c>
      <c r="AA270" s="41">
        <v>0</v>
      </c>
      <c r="AB270" s="347">
        <v>0</v>
      </c>
      <c r="AC270" s="225">
        <v>0</v>
      </c>
      <c r="AD270" s="400">
        <v>0</v>
      </c>
      <c r="AE270" s="119" t="s">
        <v>484</v>
      </c>
      <c r="AF270" s="4" t="s">
        <v>19</v>
      </c>
      <c r="AG270" s="192" t="s">
        <v>904</v>
      </c>
      <c r="AH270" s="192" t="s">
        <v>513</v>
      </c>
      <c r="AI270" s="106" t="s">
        <v>513</v>
      </c>
    </row>
    <row r="271" spans="1:35" s="354" customFormat="1" ht="25.5" x14ac:dyDescent="0.25">
      <c r="A271" s="59" t="s">
        <v>1075</v>
      </c>
      <c r="B271" s="59" t="s">
        <v>494</v>
      </c>
      <c r="C271" s="4">
        <v>2020</v>
      </c>
      <c r="D271" s="4" t="s">
        <v>1213</v>
      </c>
      <c r="E271" s="5" t="s">
        <v>11</v>
      </c>
      <c r="F271" s="133" t="s">
        <v>364</v>
      </c>
      <c r="G271" s="417" t="s">
        <v>365</v>
      </c>
      <c r="H271" s="399">
        <v>5100</v>
      </c>
      <c r="I271" s="61">
        <v>0</v>
      </c>
      <c r="J271" s="24">
        <v>0</v>
      </c>
      <c r="K271" s="412">
        <v>0</v>
      </c>
      <c r="L271" s="1252">
        <v>0</v>
      </c>
      <c r="M271" s="1252">
        <v>0</v>
      </c>
      <c r="N271" s="850">
        <v>0</v>
      </c>
      <c r="O271" s="155">
        <v>0</v>
      </c>
      <c r="P271" s="201">
        <v>0</v>
      </c>
      <c r="Q271" s="29">
        <v>0</v>
      </c>
      <c r="R271" s="1268">
        <v>0</v>
      </c>
      <c r="S271" s="1269">
        <v>0</v>
      </c>
      <c r="T271" s="1268">
        <f t="shared" si="17"/>
        <v>0</v>
      </c>
      <c r="U271" s="850">
        <v>320</v>
      </c>
      <c r="V271" s="201">
        <v>0</v>
      </c>
      <c r="W271" s="201">
        <v>4780</v>
      </c>
      <c r="X271" s="17">
        <v>0</v>
      </c>
      <c r="Y271" s="263">
        <v>5100</v>
      </c>
      <c r="Z271" s="253">
        <v>0</v>
      </c>
      <c r="AA271" s="41">
        <v>0</v>
      </c>
      <c r="AB271" s="347">
        <v>0</v>
      </c>
      <c r="AC271" s="225">
        <v>0</v>
      </c>
      <c r="AD271" s="400">
        <v>0</v>
      </c>
      <c r="AE271" s="119" t="s">
        <v>484</v>
      </c>
      <c r="AF271" s="4" t="s">
        <v>19</v>
      </c>
      <c r="AG271" s="192" t="s">
        <v>609</v>
      </c>
      <c r="AH271" s="192" t="s">
        <v>513</v>
      </c>
      <c r="AI271" s="106" t="s">
        <v>513</v>
      </c>
    </row>
    <row r="272" spans="1:35" s="388" customFormat="1" ht="38.25" x14ac:dyDescent="0.25">
      <c r="A272" s="648" t="s">
        <v>1076</v>
      </c>
      <c r="B272" s="648" t="s">
        <v>1153</v>
      </c>
      <c r="C272" s="520">
        <v>2020</v>
      </c>
      <c r="D272" s="520" t="s">
        <v>1213</v>
      </c>
      <c r="E272" s="382" t="s">
        <v>720</v>
      </c>
      <c r="F272" s="541" t="s">
        <v>720</v>
      </c>
      <c r="G272" s="626" t="s">
        <v>436</v>
      </c>
      <c r="H272" s="1697">
        <v>574.86699999999996</v>
      </c>
      <c r="I272" s="314">
        <v>0</v>
      </c>
      <c r="J272" s="436">
        <v>0</v>
      </c>
      <c r="K272" s="1994">
        <v>574.86699999999996</v>
      </c>
      <c r="L272" s="1542">
        <v>0</v>
      </c>
      <c r="M272" s="1542">
        <v>0</v>
      </c>
      <c r="N272" s="1658">
        <v>0</v>
      </c>
      <c r="O272" s="1698">
        <v>0</v>
      </c>
      <c r="P272" s="1659">
        <v>574.86699999999996</v>
      </c>
      <c r="Q272" s="661">
        <v>0</v>
      </c>
      <c r="R272" s="1543">
        <v>600</v>
      </c>
      <c r="S272" s="737">
        <v>-25.132999999999999</v>
      </c>
      <c r="T272" s="1543">
        <f t="shared" si="17"/>
        <v>574.86699999999996</v>
      </c>
      <c r="U272" s="1658">
        <v>0</v>
      </c>
      <c r="V272" s="1659">
        <v>0</v>
      </c>
      <c r="W272" s="1659">
        <v>0</v>
      </c>
      <c r="X272" s="458">
        <v>0</v>
      </c>
      <c r="Y272" s="1667">
        <v>0</v>
      </c>
      <c r="Z272" s="663">
        <v>0</v>
      </c>
      <c r="AA272" s="1699">
        <v>0</v>
      </c>
      <c r="AB272" s="1700">
        <v>0</v>
      </c>
      <c r="AC272" s="664">
        <v>0</v>
      </c>
      <c r="AD272" s="663">
        <v>0</v>
      </c>
      <c r="AE272" s="356" t="s">
        <v>861</v>
      </c>
      <c r="AF272" s="1701" t="s">
        <v>535</v>
      </c>
      <c r="AG272" s="1702" t="s">
        <v>1008</v>
      </c>
      <c r="AH272" s="1702" t="s">
        <v>514</v>
      </c>
      <c r="AI272" s="1703" t="s">
        <v>514</v>
      </c>
    </row>
    <row r="273" spans="1:35" s="354" customFormat="1" ht="25.5" x14ac:dyDescent="0.25">
      <c r="A273" s="59" t="s">
        <v>1077</v>
      </c>
      <c r="B273" s="59" t="s">
        <v>1154</v>
      </c>
      <c r="C273" s="4">
        <v>2020</v>
      </c>
      <c r="D273" s="4" t="s">
        <v>1213</v>
      </c>
      <c r="E273" s="5" t="s">
        <v>1078</v>
      </c>
      <c r="F273" s="133" t="s">
        <v>1078</v>
      </c>
      <c r="G273" s="417" t="s">
        <v>1079</v>
      </c>
      <c r="H273" s="399">
        <v>900</v>
      </c>
      <c r="I273" s="61">
        <v>0</v>
      </c>
      <c r="J273" s="24">
        <v>0</v>
      </c>
      <c r="K273" s="412">
        <v>0</v>
      </c>
      <c r="L273" s="1252">
        <v>0</v>
      </c>
      <c r="M273" s="1252">
        <v>0</v>
      </c>
      <c r="N273" s="850">
        <v>0</v>
      </c>
      <c r="O273" s="155">
        <v>0</v>
      </c>
      <c r="P273" s="201">
        <v>0</v>
      </c>
      <c r="Q273" s="29">
        <v>0</v>
      </c>
      <c r="R273" s="1268">
        <v>0</v>
      </c>
      <c r="S273" s="1269">
        <v>0</v>
      </c>
      <c r="T273" s="1268">
        <f t="shared" si="17"/>
        <v>0</v>
      </c>
      <c r="U273" s="850">
        <v>600</v>
      </c>
      <c r="V273" s="201">
        <v>0</v>
      </c>
      <c r="W273" s="201">
        <v>0</v>
      </c>
      <c r="X273" s="17">
        <v>0</v>
      </c>
      <c r="Y273" s="263">
        <v>600</v>
      </c>
      <c r="Z273" s="253">
        <v>0</v>
      </c>
      <c r="AA273" s="41">
        <v>0</v>
      </c>
      <c r="AB273" s="347">
        <v>0</v>
      </c>
      <c r="AC273" s="225">
        <v>300</v>
      </c>
      <c r="AD273" s="400">
        <v>0</v>
      </c>
      <c r="AE273" s="119" t="s">
        <v>484</v>
      </c>
      <c r="AF273" s="4" t="s">
        <v>19</v>
      </c>
      <c r="AG273" s="192" t="s">
        <v>609</v>
      </c>
      <c r="AH273" s="192" t="s">
        <v>513</v>
      </c>
      <c r="AI273" s="106" t="s">
        <v>513</v>
      </c>
    </row>
    <row r="274" spans="1:35" s="354" customFormat="1" ht="25.5" x14ac:dyDescent="0.25">
      <c r="A274" s="59" t="s">
        <v>1080</v>
      </c>
      <c r="B274" s="59" t="s">
        <v>1155</v>
      </c>
      <c r="C274" s="4">
        <v>2020</v>
      </c>
      <c r="D274" s="4" t="s">
        <v>1213</v>
      </c>
      <c r="E274" s="5" t="s">
        <v>162</v>
      </c>
      <c r="F274" s="133" t="s">
        <v>162</v>
      </c>
      <c r="G274" s="417" t="s">
        <v>1081</v>
      </c>
      <c r="H274" s="399">
        <v>500</v>
      </c>
      <c r="I274" s="61">
        <v>0</v>
      </c>
      <c r="J274" s="24">
        <v>0</v>
      </c>
      <c r="K274" s="412">
        <v>0</v>
      </c>
      <c r="L274" s="1252">
        <v>0</v>
      </c>
      <c r="M274" s="1252">
        <v>0</v>
      </c>
      <c r="N274" s="850">
        <v>0</v>
      </c>
      <c r="O274" s="155">
        <v>0</v>
      </c>
      <c r="P274" s="201">
        <v>0</v>
      </c>
      <c r="Q274" s="201">
        <v>500</v>
      </c>
      <c r="R274" s="1268">
        <v>500</v>
      </c>
      <c r="S274" s="1269">
        <v>0</v>
      </c>
      <c r="T274" s="1268">
        <f t="shared" si="17"/>
        <v>500</v>
      </c>
      <c r="U274" s="850">
        <v>0</v>
      </c>
      <c r="V274" s="201">
        <v>0</v>
      </c>
      <c r="W274" s="201">
        <v>0</v>
      </c>
      <c r="X274" s="17">
        <v>0</v>
      </c>
      <c r="Y274" s="263">
        <v>0</v>
      </c>
      <c r="Z274" s="253">
        <v>0</v>
      </c>
      <c r="AA274" s="41">
        <v>0</v>
      </c>
      <c r="AB274" s="347">
        <v>0</v>
      </c>
      <c r="AC274" s="225">
        <v>0</v>
      </c>
      <c r="AD274" s="400">
        <v>0</v>
      </c>
      <c r="AE274" s="119" t="s">
        <v>484</v>
      </c>
      <c r="AF274" s="4" t="s">
        <v>43</v>
      </c>
      <c r="AG274" s="192" t="s">
        <v>208</v>
      </c>
      <c r="AH274" s="192" t="s">
        <v>514</v>
      </c>
      <c r="AI274" s="106" t="s">
        <v>514</v>
      </c>
    </row>
    <row r="275" spans="1:35" s="354" customFormat="1" ht="25.5" x14ac:dyDescent="0.25">
      <c r="A275" s="62" t="s">
        <v>1082</v>
      </c>
      <c r="B275" s="62" t="s">
        <v>1156</v>
      </c>
      <c r="C275" s="5">
        <v>2020</v>
      </c>
      <c r="D275" s="5" t="s">
        <v>1213</v>
      </c>
      <c r="E275" s="5" t="s">
        <v>381</v>
      </c>
      <c r="F275" s="133" t="s">
        <v>381</v>
      </c>
      <c r="G275" s="417" t="s">
        <v>1083</v>
      </c>
      <c r="H275" s="398">
        <v>900</v>
      </c>
      <c r="I275" s="61">
        <v>0</v>
      </c>
      <c r="J275" s="16">
        <v>0</v>
      </c>
      <c r="K275" s="412">
        <v>0</v>
      </c>
      <c r="L275" s="782">
        <v>0</v>
      </c>
      <c r="M275" s="1252">
        <v>0</v>
      </c>
      <c r="N275" s="850">
        <v>0</v>
      </c>
      <c r="O275" s="155">
        <v>0</v>
      </c>
      <c r="P275" s="201">
        <v>0</v>
      </c>
      <c r="Q275" s="29">
        <v>900</v>
      </c>
      <c r="R275" s="1268">
        <v>900</v>
      </c>
      <c r="S275" s="1269">
        <v>0</v>
      </c>
      <c r="T275" s="1268">
        <f t="shared" si="17"/>
        <v>900</v>
      </c>
      <c r="U275" s="850">
        <v>0</v>
      </c>
      <c r="V275" s="201">
        <v>0</v>
      </c>
      <c r="W275" s="201">
        <v>0</v>
      </c>
      <c r="X275" s="17">
        <v>0</v>
      </c>
      <c r="Y275" s="263">
        <v>0</v>
      </c>
      <c r="Z275" s="253">
        <v>0</v>
      </c>
      <c r="AA275" s="33">
        <v>0</v>
      </c>
      <c r="AB275" s="201">
        <v>0</v>
      </c>
      <c r="AC275" s="225">
        <v>0</v>
      </c>
      <c r="AD275" s="253">
        <v>0</v>
      </c>
      <c r="AE275" s="52" t="s">
        <v>484</v>
      </c>
      <c r="AF275" s="5" t="s">
        <v>43</v>
      </c>
      <c r="AG275" s="193" t="s">
        <v>208</v>
      </c>
      <c r="AH275" s="193" t="s">
        <v>514</v>
      </c>
      <c r="AI275" s="104" t="s">
        <v>514</v>
      </c>
    </row>
    <row r="276" spans="1:35" s="354" customFormat="1" ht="25.5" x14ac:dyDescent="0.25">
      <c r="A276" s="59" t="s">
        <v>1084</v>
      </c>
      <c r="B276" s="59" t="s">
        <v>494</v>
      </c>
      <c r="C276" s="4">
        <v>2020</v>
      </c>
      <c r="D276" s="4" t="s">
        <v>1213</v>
      </c>
      <c r="E276" s="5" t="s">
        <v>385</v>
      </c>
      <c r="F276" s="133" t="s">
        <v>385</v>
      </c>
      <c r="G276" s="417" t="s">
        <v>1085</v>
      </c>
      <c r="H276" s="399">
        <v>1300</v>
      </c>
      <c r="I276" s="61">
        <v>0</v>
      </c>
      <c r="J276" s="24">
        <v>0</v>
      </c>
      <c r="K276" s="412">
        <v>0</v>
      </c>
      <c r="L276" s="1252">
        <v>0</v>
      </c>
      <c r="M276" s="1252">
        <v>0</v>
      </c>
      <c r="N276" s="850">
        <v>0</v>
      </c>
      <c r="O276" s="155">
        <v>0</v>
      </c>
      <c r="P276" s="201">
        <v>0</v>
      </c>
      <c r="Q276" s="29">
        <v>0</v>
      </c>
      <c r="R276" s="1268">
        <v>0</v>
      </c>
      <c r="S276" s="1269">
        <v>0</v>
      </c>
      <c r="T276" s="1268">
        <f t="shared" si="17"/>
        <v>0</v>
      </c>
      <c r="U276" s="850">
        <v>0</v>
      </c>
      <c r="V276" s="201">
        <v>0</v>
      </c>
      <c r="W276" s="201">
        <v>0</v>
      </c>
      <c r="X276" s="17">
        <v>0</v>
      </c>
      <c r="Y276" s="263">
        <v>0</v>
      </c>
      <c r="Z276" s="263">
        <v>1300</v>
      </c>
      <c r="AA276" s="41">
        <v>0</v>
      </c>
      <c r="AB276" s="347">
        <v>0</v>
      </c>
      <c r="AC276" s="225">
        <v>0</v>
      </c>
      <c r="AD276" s="400">
        <v>0</v>
      </c>
      <c r="AE276" s="119" t="s">
        <v>484</v>
      </c>
      <c r="AF276" s="4" t="s">
        <v>19</v>
      </c>
      <c r="AG276" s="192" t="s">
        <v>610</v>
      </c>
      <c r="AH276" s="192" t="s">
        <v>513</v>
      </c>
      <c r="AI276" s="106" t="s">
        <v>513</v>
      </c>
    </row>
    <row r="277" spans="1:35" s="388" customFormat="1" ht="38.25" x14ac:dyDescent="0.25">
      <c r="A277" s="163" t="s">
        <v>1086</v>
      </c>
      <c r="B277" s="163" t="s">
        <v>1157</v>
      </c>
      <c r="C277" s="73">
        <v>2020</v>
      </c>
      <c r="D277" s="73" t="s">
        <v>1213</v>
      </c>
      <c r="E277" s="66" t="s">
        <v>1087</v>
      </c>
      <c r="F277" s="134" t="s">
        <v>1087</v>
      </c>
      <c r="G277" s="145" t="s">
        <v>1088</v>
      </c>
      <c r="H277" s="1026">
        <v>966.63689999999997</v>
      </c>
      <c r="I277" s="129">
        <v>0</v>
      </c>
      <c r="J277" s="36">
        <v>0</v>
      </c>
      <c r="K277" s="1994">
        <v>966.63689999999997</v>
      </c>
      <c r="L277" s="1256">
        <v>0</v>
      </c>
      <c r="M277" s="1256">
        <v>0</v>
      </c>
      <c r="N277" s="269">
        <v>0</v>
      </c>
      <c r="O277" s="206">
        <v>0</v>
      </c>
      <c r="P277" s="207">
        <v>966.63689999999997</v>
      </c>
      <c r="Q277" s="38">
        <v>0</v>
      </c>
      <c r="R277" s="1550">
        <v>967</v>
      </c>
      <c r="S277" s="494">
        <v>-0.36309999999999998</v>
      </c>
      <c r="T277" s="1550">
        <f t="shared" si="17"/>
        <v>966.63689999999997</v>
      </c>
      <c r="U277" s="269">
        <v>0</v>
      </c>
      <c r="V277" s="207">
        <v>0</v>
      </c>
      <c r="W277" s="207">
        <v>0</v>
      </c>
      <c r="X277" s="22">
        <v>0</v>
      </c>
      <c r="Y277" s="264">
        <v>0</v>
      </c>
      <c r="Z277" s="262">
        <v>0</v>
      </c>
      <c r="AA277" s="79">
        <v>0</v>
      </c>
      <c r="AB277" s="535">
        <v>0</v>
      </c>
      <c r="AC277" s="244">
        <v>0</v>
      </c>
      <c r="AD277" s="1696">
        <v>0</v>
      </c>
      <c r="AE277" s="118" t="s">
        <v>484</v>
      </c>
      <c r="AF277" s="73" t="s">
        <v>535</v>
      </c>
      <c r="AG277" s="657" t="s">
        <v>523</v>
      </c>
      <c r="AH277" s="657" t="s">
        <v>513</v>
      </c>
      <c r="AI277" s="485" t="s">
        <v>513</v>
      </c>
    </row>
    <row r="278" spans="1:35" s="354" customFormat="1" ht="38.25" x14ac:dyDescent="0.25">
      <c r="A278" s="59" t="s">
        <v>1089</v>
      </c>
      <c r="B278" s="59" t="s">
        <v>494</v>
      </c>
      <c r="C278" s="4">
        <v>2020</v>
      </c>
      <c r="D278" s="4" t="s">
        <v>1213</v>
      </c>
      <c r="E278" s="5" t="s">
        <v>1090</v>
      </c>
      <c r="F278" s="133" t="s">
        <v>1090</v>
      </c>
      <c r="G278" s="417" t="s">
        <v>1091</v>
      </c>
      <c r="H278" s="399">
        <v>8743.5</v>
      </c>
      <c r="I278" s="61">
        <v>0</v>
      </c>
      <c r="J278" s="24">
        <v>0</v>
      </c>
      <c r="K278" s="412">
        <v>0</v>
      </c>
      <c r="L278" s="1252">
        <v>0</v>
      </c>
      <c r="M278" s="1252">
        <v>0</v>
      </c>
      <c r="N278" s="850">
        <v>0</v>
      </c>
      <c r="O278" s="155">
        <v>0</v>
      </c>
      <c r="P278" s="201">
        <v>0</v>
      </c>
      <c r="Q278" s="29">
        <v>0</v>
      </c>
      <c r="R278" s="1268">
        <v>0</v>
      </c>
      <c r="S278" s="1269">
        <v>0</v>
      </c>
      <c r="T278" s="1268">
        <f t="shared" si="17"/>
        <v>0</v>
      </c>
      <c r="U278" s="850">
        <v>0</v>
      </c>
      <c r="V278" s="201">
        <v>0</v>
      </c>
      <c r="W278" s="201">
        <v>0</v>
      </c>
      <c r="X278" s="17">
        <f>5743.5+3000</f>
        <v>8743.5</v>
      </c>
      <c r="Y278" s="263">
        <v>8743.5</v>
      </c>
      <c r="Z278" s="253">
        <v>0</v>
      </c>
      <c r="AA278" s="41">
        <v>0</v>
      </c>
      <c r="AB278" s="347">
        <v>0</v>
      </c>
      <c r="AC278" s="225">
        <v>0</v>
      </c>
      <c r="AD278" s="400">
        <v>0</v>
      </c>
      <c r="AE278" s="119" t="s">
        <v>484</v>
      </c>
      <c r="AF278" s="4" t="s">
        <v>19</v>
      </c>
      <c r="AG278" s="4" t="s">
        <v>542</v>
      </c>
      <c r="AH278" s="192" t="s">
        <v>513</v>
      </c>
      <c r="AI278" s="106" t="s">
        <v>513</v>
      </c>
    </row>
    <row r="279" spans="1:35" s="388" customFormat="1" ht="30" x14ac:dyDescent="0.25">
      <c r="A279" s="1191" t="s">
        <v>1092</v>
      </c>
      <c r="B279" s="1191" t="s">
        <v>1158</v>
      </c>
      <c r="C279" s="1192">
        <v>2020</v>
      </c>
      <c r="D279" s="1192" t="s">
        <v>1213</v>
      </c>
      <c r="E279" s="1086" t="s">
        <v>1093</v>
      </c>
      <c r="F279" s="1171" t="s">
        <v>1093</v>
      </c>
      <c r="G279" s="1193" t="s">
        <v>1094</v>
      </c>
      <c r="H279" s="1194">
        <v>0</v>
      </c>
      <c r="I279" s="1082">
        <v>0</v>
      </c>
      <c r="J279" s="1208">
        <v>0</v>
      </c>
      <c r="K279" s="1996">
        <v>0</v>
      </c>
      <c r="L279" s="1583">
        <v>0</v>
      </c>
      <c r="M279" s="1583">
        <v>0</v>
      </c>
      <c r="N279" s="1196">
        <v>0</v>
      </c>
      <c r="O279" s="1619">
        <v>0</v>
      </c>
      <c r="P279" s="1195">
        <v>0</v>
      </c>
      <c r="Q279" s="1084">
        <v>0</v>
      </c>
      <c r="R279" s="1584">
        <v>0</v>
      </c>
      <c r="S279" s="1585">
        <v>0</v>
      </c>
      <c r="T279" s="1584">
        <f t="shared" si="17"/>
        <v>0</v>
      </c>
      <c r="U279" s="1196">
        <v>0</v>
      </c>
      <c r="V279" s="1195">
        <v>0</v>
      </c>
      <c r="W279" s="1195">
        <v>0</v>
      </c>
      <c r="X279" s="1197">
        <v>0</v>
      </c>
      <c r="Y279" s="1198">
        <v>0</v>
      </c>
      <c r="Z279" s="1199">
        <v>0</v>
      </c>
      <c r="AA279" s="1200">
        <v>0</v>
      </c>
      <c r="AB279" s="1586">
        <v>0</v>
      </c>
      <c r="AC279" s="1877">
        <v>0</v>
      </c>
      <c r="AD279" s="2087">
        <v>0</v>
      </c>
      <c r="AE279" s="691" t="s">
        <v>1396</v>
      </c>
      <c r="AF279" s="1192" t="s">
        <v>516</v>
      </c>
      <c r="AG279" s="1201" t="s">
        <v>904</v>
      </c>
      <c r="AH279" s="1201" t="s">
        <v>513</v>
      </c>
      <c r="AI279" s="1202" t="s">
        <v>513</v>
      </c>
    </row>
    <row r="280" spans="1:35" s="354" customFormat="1" ht="38.25" x14ac:dyDescent="0.25">
      <c r="A280" s="59" t="s">
        <v>1095</v>
      </c>
      <c r="B280" s="59" t="s">
        <v>1159</v>
      </c>
      <c r="C280" s="4">
        <v>2020</v>
      </c>
      <c r="D280" s="4" t="s">
        <v>1213</v>
      </c>
      <c r="E280" s="5" t="s">
        <v>401</v>
      </c>
      <c r="F280" s="133" t="s">
        <v>401</v>
      </c>
      <c r="G280" s="417" t="s">
        <v>436</v>
      </c>
      <c r="H280" s="399">
        <v>600</v>
      </c>
      <c r="I280" s="61">
        <v>0</v>
      </c>
      <c r="J280" s="24">
        <v>0</v>
      </c>
      <c r="K280" s="412">
        <v>0</v>
      </c>
      <c r="L280" s="1252">
        <v>0</v>
      </c>
      <c r="M280" s="1252">
        <v>0</v>
      </c>
      <c r="N280" s="850">
        <v>0</v>
      </c>
      <c r="O280" s="155">
        <v>0</v>
      </c>
      <c r="P280" s="201">
        <v>0</v>
      </c>
      <c r="Q280" s="29">
        <v>0</v>
      </c>
      <c r="R280" s="1268">
        <v>0</v>
      </c>
      <c r="S280" s="1269">
        <v>0</v>
      </c>
      <c r="T280" s="1268">
        <f t="shared" si="17"/>
        <v>0</v>
      </c>
      <c r="U280" s="850">
        <v>0</v>
      </c>
      <c r="V280" s="201">
        <v>300</v>
      </c>
      <c r="W280" s="201">
        <v>0</v>
      </c>
      <c r="X280" s="17">
        <v>0</v>
      </c>
      <c r="Y280" s="263">
        <v>300</v>
      </c>
      <c r="Z280" s="253">
        <v>0</v>
      </c>
      <c r="AA280" s="41">
        <v>0</v>
      </c>
      <c r="AB280" s="347">
        <v>0</v>
      </c>
      <c r="AC280" s="225">
        <v>300</v>
      </c>
      <c r="AD280" s="400">
        <v>0</v>
      </c>
      <c r="AE280" s="119" t="s">
        <v>484</v>
      </c>
      <c r="AF280" s="4" t="s">
        <v>19</v>
      </c>
      <c r="AG280" s="192" t="s">
        <v>609</v>
      </c>
      <c r="AH280" s="192" t="s">
        <v>513</v>
      </c>
      <c r="AI280" s="106" t="s">
        <v>513</v>
      </c>
    </row>
    <row r="281" spans="1:35" s="354" customFormat="1" ht="25.5" x14ac:dyDescent="0.25">
      <c r="A281" s="59" t="s">
        <v>1096</v>
      </c>
      <c r="B281" s="59" t="s">
        <v>494</v>
      </c>
      <c r="C281" s="4">
        <v>2020</v>
      </c>
      <c r="D281" s="4" t="s">
        <v>1213</v>
      </c>
      <c r="E281" s="5" t="s">
        <v>1097</v>
      </c>
      <c r="F281" s="133" t="s">
        <v>1097</v>
      </c>
      <c r="G281" s="417" t="s">
        <v>1098</v>
      </c>
      <c r="H281" s="399">
        <v>1200</v>
      </c>
      <c r="I281" s="61">
        <v>0</v>
      </c>
      <c r="J281" s="24">
        <v>0</v>
      </c>
      <c r="K281" s="412">
        <v>0</v>
      </c>
      <c r="L281" s="1252">
        <v>0</v>
      </c>
      <c r="M281" s="1252">
        <v>0</v>
      </c>
      <c r="N281" s="850">
        <v>0</v>
      </c>
      <c r="O281" s="155">
        <v>0</v>
      </c>
      <c r="P281" s="201">
        <v>0</v>
      </c>
      <c r="Q281" s="29">
        <v>0</v>
      </c>
      <c r="R281" s="1268">
        <v>0</v>
      </c>
      <c r="S281" s="1269">
        <v>0</v>
      </c>
      <c r="T281" s="1268">
        <f t="shared" si="17"/>
        <v>0</v>
      </c>
      <c r="U281" s="850">
        <v>0</v>
      </c>
      <c r="V281" s="201">
        <v>0</v>
      </c>
      <c r="W281" s="201">
        <v>0</v>
      </c>
      <c r="X281" s="17">
        <v>0</v>
      </c>
      <c r="Y281" s="263">
        <v>0</v>
      </c>
      <c r="Z281" s="263">
        <v>600</v>
      </c>
      <c r="AA281" s="41">
        <v>0</v>
      </c>
      <c r="AB281" s="347">
        <v>0</v>
      </c>
      <c r="AC281" s="225">
        <v>600</v>
      </c>
      <c r="AD281" s="400">
        <v>0</v>
      </c>
      <c r="AE281" s="119" t="s">
        <v>484</v>
      </c>
      <c r="AF281" s="4" t="s">
        <v>19</v>
      </c>
      <c r="AG281" s="192" t="s">
        <v>610</v>
      </c>
      <c r="AH281" s="192" t="s">
        <v>513</v>
      </c>
      <c r="AI281" s="106" t="s">
        <v>513</v>
      </c>
    </row>
    <row r="282" spans="1:35" s="354" customFormat="1" ht="25.5" x14ac:dyDescent="0.25">
      <c r="A282" s="59" t="s">
        <v>1099</v>
      </c>
      <c r="B282" s="59" t="s">
        <v>1160</v>
      </c>
      <c r="C282" s="4">
        <v>2020</v>
      </c>
      <c r="D282" s="4" t="s">
        <v>1213</v>
      </c>
      <c r="E282" s="5" t="s">
        <v>342</v>
      </c>
      <c r="F282" s="5" t="s">
        <v>342</v>
      </c>
      <c r="G282" s="417" t="s">
        <v>1100</v>
      </c>
      <c r="H282" s="399">
        <v>3000</v>
      </c>
      <c r="I282" s="61">
        <v>0</v>
      </c>
      <c r="J282" s="24">
        <v>0</v>
      </c>
      <c r="K282" s="412">
        <v>0</v>
      </c>
      <c r="L282" s="1252">
        <v>0</v>
      </c>
      <c r="M282" s="1252">
        <v>0</v>
      </c>
      <c r="N282" s="850">
        <v>0</v>
      </c>
      <c r="O282" s="155">
        <v>0</v>
      </c>
      <c r="P282" s="201">
        <v>0</v>
      </c>
      <c r="Q282" s="29">
        <v>0</v>
      </c>
      <c r="R282" s="1268">
        <v>0</v>
      </c>
      <c r="S282" s="1269">
        <v>0</v>
      </c>
      <c r="T282" s="1268">
        <f t="shared" si="17"/>
        <v>0</v>
      </c>
      <c r="U282" s="850">
        <v>750</v>
      </c>
      <c r="V282" s="201">
        <v>750</v>
      </c>
      <c r="W282" s="201">
        <v>1500</v>
      </c>
      <c r="X282" s="17">
        <v>0</v>
      </c>
      <c r="Y282" s="263">
        <v>3000</v>
      </c>
      <c r="Z282" s="253">
        <v>0</v>
      </c>
      <c r="AA282" s="41">
        <v>0</v>
      </c>
      <c r="AB282" s="347">
        <v>0</v>
      </c>
      <c r="AC282" s="225">
        <v>0</v>
      </c>
      <c r="AD282" s="400">
        <v>0</v>
      </c>
      <c r="AE282" s="119" t="s">
        <v>484</v>
      </c>
      <c r="AF282" s="4" t="s">
        <v>19</v>
      </c>
      <c r="AG282" s="192" t="s">
        <v>899</v>
      </c>
      <c r="AH282" s="192" t="s">
        <v>513</v>
      </c>
      <c r="AI282" s="106" t="s">
        <v>513</v>
      </c>
    </row>
    <row r="283" spans="1:35" s="354" customFormat="1" ht="38.25" x14ac:dyDescent="0.25">
      <c r="A283" s="62" t="s">
        <v>1101</v>
      </c>
      <c r="B283" s="62" t="s">
        <v>494</v>
      </c>
      <c r="C283" s="5">
        <v>2020</v>
      </c>
      <c r="D283" s="5" t="s">
        <v>1213</v>
      </c>
      <c r="E283" s="4" t="s">
        <v>966</v>
      </c>
      <c r="F283" s="136" t="s">
        <v>966</v>
      </c>
      <c r="G283" s="428" t="s">
        <v>1102</v>
      </c>
      <c r="H283" s="833">
        <v>2000</v>
      </c>
      <c r="I283" s="61">
        <v>0</v>
      </c>
      <c r="J283" s="24">
        <v>0</v>
      </c>
      <c r="K283" s="412">
        <v>0</v>
      </c>
      <c r="L283" s="1252">
        <v>0</v>
      </c>
      <c r="M283" s="1252">
        <v>0</v>
      </c>
      <c r="N283" s="850">
        <v>0</v>
      </c>
      <c r="O283" s="155">
        <v>0</v>
      </c>
      <c r="P283" s="201">
        <v>0</v>
      </c>
      <c r="Q283" s="29">
        <v>0</v>
      </c>
      <c r="R283" s="1268">
        <v>0</v>
      </c>
      <c r="S283" s="1269">
        <v>0</v>
      </c>
      <c r="T283" s="1268">
        <f t="shared" si="17"/>
        <v>0</v>
      </c>
      <c r="U283" s="850">
        <v>0</v>
      </c>
      <c r="V283" s="201">
        <v>0</v>
      </c>
      <c r="W283" s="201">
        <v>2000</v>
      </c>
      <c r="X283" s="17">
        <v>0</v>
      </c>
      <c r="Y283" s="840">
        <v>2000</v>
      </c>
      <c r="Z283" s="253">
        <v>0</v>
      </c>
      <c r="AA283" s="33">
        <v>0</v>
      </c>
      <c r="AB283" s="201">
        <v>0</v>
      </c>
      <c r="AC283" s="225">
        <v>0</v>
      </c>
      <c r="AD283" s="253">
        <v>0</v>
      </c>
      <c r="AE283" s="52" t="s">
        <v>484</v>
      </c>
      <c r="AF283" s="4" t="s">
        <v>19</v>
      </c>
      <c r="AG283" s="193" t="s">
        <v>609</v>
      </c>
      <c r="AH283" s="193" t="s">
        <v>513</v>
      </c>
      <c r="AI283" s="104" t="s">
        <v>513</v>
      </c>
    </row>
    <row r="284" spans="1:35" s="388" customFormat="1" ht="25.5" x14ac:dyDescent="0.25">
      <c r="A284" s="163" t="s">
        <v>1117</v>
      </c>
      <c r="B284" s="163" t="s">
        <v>1161</v>
      </c>
      <c r="C284" s="73">
        <v>2020</v>
      </c>
      <c r="D284" s="66" t="s">
        <v>1397</v>
      </c>
      <c r="E284" s="538" t="s">
        <v>176</v>
      </c>
      <c r="F284" s="538" t="s">
        <v>176</v>
      </c>
      <c r="G284" s="145" t="s">
        <v>1118</v>
      </c>
      <c r="H284" s="1704">
        <v>650</v>
      </c>
      <c r="I284" s="129">
        <v>0</v>
      </c>
      <c r="J284" s="36">
        <v>0</v>
      </c>
      <c r="K284" s="1994">
        <v>500</v>
      </c>
      <c r="L284" s="1256">
        <v>0</v>
      </c>
      <c r="M284" s="1256">
        <v>0</v>
      </c>
      <c r="N284" s="269">
        <v>0</v>
      </c>
      <c r="O284" s="206">
        <v>0</v>
      </c>
      <c r="P284" s="207">
        <v>500</v>
      </c>
      <c r="Q284" s="38">
        <v>0</v>
      </c>
      <c r="R284" s="1550">
        <v>500</v>
      </c>
      <c r="S284" s="494">
        <v>0</v>
      </c>
      <c r="T284" s="1550">
        <f t="shared" si="17"/>
        <v>500</v>
      </c>
      <c r="U284" s="269">
        <v>0</v>
      </c>
      <c r="V284" s="207">
        <v>0</v>
      </c>
      <c r="W284" s="207">
        <v>0</v>
      </c>
      <c r="X284" s="22">
        <v>0</v>
      </c>
      <c r="Y284" s="372">
        <v>0</v>
      </c>
      <c r="Z284" s="262">
        <v>0</v>
      </c>
      <c r="AA284" s="79">
        <v>0</v>
      </c>
      <c r="AB284" s="535">
        <v>0</v>
      </c>
      <c r="AC284" s="244">
        <v>150</v>
      </c>
      <c r="AD284" s="1696">
        <v>0</v>
      </c>
      <c r="AE284" s="118" t="s">
        <v>1121</v>
      </c>
      <c r="AF284" s="73" t="s">
        <v>535</v>
      </c>
      <c r="AG284" s="657" t="s">
        <v>540</v>
      </c>
      <c r="AH284" s="657" t="s">
        <v>514</v>
      </c>
      <c r="AI284" s="485" t="s">
        <v>514</v>
      </c>
    </row>
    <row r="285" spans="1:35" s="354" customFormat="1" ht="26.25" thickBot="1" x14ac:dyDescent="0.3">
      <c r="A285" s="124" t="s">
        <v>1119</v>
      </c>
      <c r="B285" s="124" t="s">
        <v>1162</v>
      </c>
      <c r="C285" s="125">
        <v>2020</v>
      </c>
      <c r="D285" s="125" t="s">
        <v>1398</v>
      </c>
      <c r="E285" s="157" t="s">
        <v>187</v>
      </c>
      <c r="F285" s="157" t="s">
        <v>187</v>
      </c>
      <c r="G285" s="1705" t="s">
        <v>1120</v>
      </c>
      <c r="H285" s="1158">
        <v>4500</v>
      </c>
      <c r="I285" s="463">
        <v>0</v>
      </c>
      <c r="J285" s="46">
        <v>0</v>
      </c>
      <c r="K285" s="1381">
        <v>0</v>
      </c>
      <c r="L285" s="835">
        <v>0</v>
      </c>
      <c r="M285" s="835">
        <v>0</v>
      </c>
      <c r="N285" s="845">
        <v>0</v>
      </c>
      <c r="O285" s="160">
        <v>0</v>
      </c>
      <c r="P285" s="203">
        <v>0</v>
      </c>
      <c r="Q285" s="98">
        <v>4500</v>
      </c>
      <c r="R285" s="1270">
        <v>4500</v>
      </c>
      <c r="S285" s="1271">
        <v>0</v>
      </c>
      <c r="T285" s="1270">
        <f t="shared" si="17"/>
        <v>4500</v>
      </c>
      <c r="U285" s="845">
        <v>0</v>
      </c>
      <c r="V285" s="203">
        <v>0</v>
      </c>
      <c r="W285" s="203">
        <v>0</v>
      </c>
      <c r="X285" s="47">
        <v>0</v>
      </c>
      <c r="Y285" s="1159">
        <v>0</v>
      </c>
      <c r="Z285" s="251">
        <v>0</v>
      </c>
      <c r="AA285" s="48">
        <v>0</v>
      </c>
      <c r="AB285" s="203">
        <v>0</v>
      </c>
      <c r="AC285" s="498">
        <v>0</v>
      </c>
      <c r="AD285" s="251">
        <v>0</v>
      </c>
      <c r="AE285" s="122" t="s">
        <v>484</v>
      </c>
      <c r="AF285" s="54" t="s">
        <v>43</v>
      </c>
      <c r="AG285" s="194" t="s">
        <v>208</v>
      </c>
      <c r="AH285" s="194" t="s">
        <v>514</v>
      </c>
      <c r="AI285" s="128" t="s">
        <v>513</v>
      </c>
    </row>
    <row r="286" spans="1:35" s="1719" customFormat="1" ht="30.75" thickBot="1" x14ac:dyDescent="0.3">
      <c r="A286" s="723" t="s">
        <v>1212</v>
      </c>
      <c r="B286" s="773" t="s">
        <v>494</v>
      </c>
      <c r="C286" s="55">
        <v>2020</v>
      </c>
      <c r="D286" s="1706" t="s">
        <v>1220</v>
      </c>
      <c r="E286" s="302" t="s">
        <v>11</v>
      </c>
      <c r="F286" s="302" t="s">
        <v>11</v>
      </c>
      <c r="G286" s="1142" t="s">
        <v>1184</v>
      </c>
      <c r="H286" s="130">
        <v>16000</v>
      </c>
      <c r="I286" s="130">
        <v>0</v>
      </c>
      <c r="J286" s="6">
        <v>0</v>
      </c>
      <c r="K286" s="1253">
        <v>0</v>
      </c>
      <c r="L286" s="1248">
        <v>0</v>
      </c>
      <c r="M286" s="1248">
        <v>0</v>
      </c>
      <c r="N286" s="853">
        <v>0</v>
      </c>
      <c r="O286" s="303">
        <v>0</v>
      </c>
      <c r="P286" s="279">
        <v>0</v>
      </c>
      <c r="Q286" s="303">
        <v>8000</v>
      </c>
      <c r="R286" s="1264">
        <v>8000</v>
      </c>
      <c r="S286" s="1265">
        <v>0</v>
      </c>
      <c r="T286" s="1264">
        <f>R286+S286</f>
        <v>8000</v>
      </c>
      <c r="U286" s="853">
        <v>0</v>
      </c>
      <c r="V286" s="279">
        <v>8000</v>
      </c>
      <c r="W286" s="279">
        <v>0</v>
      </c>
      <c r="X286" s="765">
        <v>0</v>
      </c>
      <c r="Y286" s="765">
        <v>8000</v>
      </c>
      <c r="Z286" s="765">
        <v>0</v>
      </c>
      <c r="AA286" s="764">
        <v>0</v>
      </c>
      <c r="AB286" s="279">
        <v>0</v>
      </c>
      <c r="AC286" s="303">
        <v>0</v>
      </c>
      <c r="AD286" s="2088">
        <v>0</v>
      </c>
      <c r="AE286" s="304" t="s">
        <v>484</v>
      </c>
      <c r="AF286" s="55" t="s">
        <v>484</v>
      </c>
      <c r="AG286" s="777" t="s">
        <v>491</v>
      </c>
      <c r="AH286" s="777" t="s">
        <v>491</v>
      </c>
      <c r="AI286" s="1143" t="s">
        <v>491</v>
      </c>
    </row>
    <row r="287" spans="1:35" s="354" customFormat="1" ht="38.25" x14ac:dyDescent="0.25">
      <c r="A287" s="1132" t="s">
        <v>1399</v>
      </c>
      <c r="B287" s="962" t="s">
        <v>1400</v>
      </c>
      <c r="C287" s="360">
        <v>2020</v>
      </c>
      <c r="D287" s="1370" t="s">
        <v>494</v>
      </c>
      <c r="E287" s="1145" t="s">
        <v>1401</v>
      </c>
      <c r="F287" s="1145" t="s">
        <v>1401</v>
      </c>
      <c r="G287" s="1151" t="s">
        <v>1402</v>
      </c>
      <c r="H287" s="420">
        <v>5561.058</v>
      </c>
      <c r="I287" s="472">
        <v>0</v>
      </c>
      <c r="J287" s="390">
        <v>0</v>
      </c>
      <c r="K287" s="390">
        <v>0</v>
      </c>
      <c r="L287" s="1258">
        <v>0</v>
      </c>
      <c r="M287" s="1649">
        <v>0</v>
      </c>
      <c r="N287" s="966">
        <v>0</v>
      </c>
      <c r="O287" s="965">
        <v>0</v>
      </c>
      <c r="P287" s="967">
        <v>0</v>
      </c>
      <c r="Q287" s="965">
        <v>0</v>
      </c>
      <c r="R287" s="1274">
        <v>0</v>
      </c>
      <c r="S287" s="1275">
        <v>0</v>
      </c>
      <c r="T287" s="1274">
        <f t="shared" ref="T287:T288" si="18">R287+S287</f>
        <v>0</v>
      </c>
      <c r="U287" s="966">
        <v>350</v>
      </c>
      <c r="V287" s="967">
        <v>0</v>
      </c>
      <c r="W287" s="967">
        <v>2587.5</v>
      </c>
      <c r="X287" s="968">
        <v>2587.5</v>
      </c>
      <c r="Y287" s="965">
        <v>5525</v>
      </c>
      <c r="Z287" s="686">
        <v>0</v>
      </c>
      <c r="AA287" s="1326">
        <v>36.058</v>
      </c>
      <c r="AB287" s="967">
        <v>0</v>
      </c>
      <c r="AC287" s="965">
        <v>0</v>
      </c>
      <c r="AD287" s="1274">
        <v>0</v>
      </c>
      <c r="AE287" s="284" t="s">
        <v>484</v>
      </c>
      <c r="AF287" s="360" t="s">
        <v>19</v>
      </c>
      <c r="AG287" s="1152" t="s">
        <v>616</v>
      </c>
      <c r="AH287" s="1152" t="s">
        <v>513</v>
      </c>
      <c r="AI287" s="978" t="s">
        <v>513</v>
      </c>
    </row>
    <row r="288" spans="1:35" s="354" customFormat="1" ht="76.5" x14ac:dyDescent="0.25">
      <c r="A288" s="1132" t="s">
        <v>1403</v>
      </c>
      <c r="B288" s="962" t="s">
        <v>1386</v>
      </c>
      <c r="C288" s="360">
        <v>2020</v>
      </c>
      <c r="D288" s="1370" t="s">
        <v>494</v>
      </c>
      <c r="E288" s="1145" t="s">
        <v>11</v>
      </c>
      <c r="F288" s="1145" t="s">
        <v>1404</v>
      </c>
      <c r="G288" s="1151" t="s">
        <v>1405</v>
      </c>
      <c r="H288" s="420">
        <v>9000</v>
      </c>
      <c r="I288" s="472">
        <v>0</v>
      </c>
      <c r="J288" s="378">
        <v>0</v>
      </c>
      <c r="K288" s="378">
        <v>0</v>
      </c>
      <c r="L288" s="1330">
        <v>0</v>
      </c>
      <c r="M288" s="1648">
        <v>0</v>
      </c>
      <c r="N288" s="966">
        <v>0</v>
      </c>
      <c r="O288" s="965">
        <v>0</v>
      </c>
      <c r="P288" s="967">
        <v>0</v>
      </c>
      <c r="Q288" s="965">
        <v>0</v>
      </c>
      <c r="R288" s="1274">
        <v>0</v>
      </c>
      <c r="S288" s="1275">
        <v>0</v>
      </c>
      <c r="T288" s="1274">
        <f t="shared" si="18"/>
        <v>0</v>
      </c>
      <c r="U288" s="966">
        <v>0</v>
      </c>
      <c r="V288" s="967">
        <v>0</v>
      </c>
      <c r="W288" s="967">
        <v>3000</v>
      </c>
      <c r="X288" s="968">
        <v>0</v>
      </c>
      <c r="Y288" s="965">
        <v>3000</v>
      </c>
      <c r="Z288" s="514">
        <v>6000</v>
      </c>
      <c r="AA288" s="1326">
        <v>0</v>
      </c>
      <c r="AB288" s="967">
        <v>0</v>
      </c>
      <c r="AC288" s="965">
        <v>0</v>
      </c>
      <c r="AD288" s="1274">
        <v>0</v>
      </c>
      <c r="AE288" s="284" t="s">
        <v>1406</v>
      </c>
      <c r="AF288" s="360" t="s">
        <v>19</v>
      </c>
      <c r="AG288" s="1152" t="s">
        <v>904</v>
      </c>
      <c r="AH288" s="1152" t="s">
        <v>513</v>
      </c>
      <c r="AI288" s="978" t="s">
        <v>513</v>
      </c>
    </row>
    <row r="289" spans="1:35" s="354" customFormat="1" ht="51.75" thickBot="1" x14ac:dyDescent="0.3">
      <c r="A289" s="1423" t="s">
        <v>1407</v>
      </c>
      <c r="B289" s="1650" t="s">
        <v>484</v>
      </c>
      <c r="C289" s="975">
        <v>2020</v>
      </c>
      <c r="D289" s="1424" t="s">
        <v>494</v>
      </c>
      <c r="E289" s="1425" t="s">
        <v>11</v>
      </c>
      <c r="F289" s="1425" t="s">
        <v>386</v>
      </c>
      <c r="G289" s="1151" t="s">
        <v>1409</v>
      </c>
      <c r="H289" s="515">
        <v>6581.1994299999997</v>
      </c>
      <c r="I289" s="1718">
        <v>0</v>
      </c>
      <c r="J289" s="473">
        <v>0</v>
      </c>
      <c r="K289" s="473">
        <v>0</v>
      </c>
      <c r="L289" s="976">
        <v>0</v>
      </c>
      <c r="M289" s="1908">
        <v>0</v>
      </c>
      <c r="N289" s="1426">
        <v>0</v>
      </c>
      <c r="O289" s="824">
        <v>0</v>
      </c>
      <c r="P289" s="1427">
        <v>0</v>
      </c>
      <c r="Q289" s="824">
        <v>0</v>
      </c>
      <c r="R289" s="1428">
        <v>0</v>
      </c>
      <c r="S289" s="1429">
        <v>0</v>
      </c>
      <c r="T289" s="1707">
        <v>0</v>
      </c>
      <c r="U289" s="824">
        <v>2000</v>
      </c>
      <c r="V289" s="1427">
        <v>2000</v>
      </c>
      <c r="W289" s="1427">
        <v>2000</v>
      </c>
      <c r="X289" s="1651">
        <v>581.19943000000001</v>
      </c>
      <c r="Y289" s="824">
        <v>6581.1994299999997</v>
      </c>
      <c r="Z289" s="1149">
        <v>0</v>
      </c>
      <c r="AA289" s="675">
        <v>0</v>
      </c>
      <c r="AB289" s="1427">
        <v>0</v>
      </c>
      <c r="AC289" s="824">
        <v>0</v>
      </c>
      <c r="AD289" s="1428">
        <v>0</v>
      </c>
      <c r="AE289" s="676" t="s">
        <v>1408</v>
      </c>
      <c r="AF289" s="360" t="s">
        <v>19</v>
      </c>
      <c r="AG289" s="1708" t="s">
        <v>609</v>
      </c>
      <c r="AH289" s="1708" t="s">
        <v>513</v>
      </c>
      <c r="AI289" s="1430" t="s">
        <v>513</v>
      </c>
    </row>
    <row r="290" spans="1:35" s="756" customFormat="1" ht="15" customHeight="1" thickBot="1" x14ac:dyDescent="0.3">
      <c r="A290" s="156" t="s">
        <v>544</v>
      </c>
      <c r="B290" s="156" t="s">
        <v>544</v>
      </c>
      <c r="C290" s="54" t="s">
        <v>544</v>
      </c>
      <c r="D290" s="54" t="s">
        <v>544</v>
      </c>
      <c r="E290" s="54" t="s">
        <v>544</v>
      </c>
      <c r="F290" s="54" t="s">
        <v>544</v>
      </c>
      <c r="G290" s="475" t="s">
        <v>544</v>
      </c>
      <c r="H290" s="882" t="s">
        <v>544</v>
      </c>
      <c r="I290" s="883" t="s">
        <v>544</v>
      </c>
      <c r="J290" s="858" t="s">
        <v>544</v>
      </c>
      <c r="K290" s="858" t="s">
        <v>544</v>
      </c>
      <c r="L290" s="858" t="s">
        <v>544</v>
      </c>
      <c r="M290" s="858" t="s">
        <v>544</v>
      </c>
      <c r="N290" s="1971" t="s">
        <v>544</v>
      </c>
      <c r="O290" s="197" t="s">
        <v>544</v>
      </c>
      <c r="P290" s="877" t="s">
        <v>544</v>
      </c>
      <c r="Q290" s="197" t="s">
        <v>544</v>
      </c>
      <c r="R290" s="887" t="s">
        <v>544</v>
      </c>
      <c r="S290" s="881" t="s">
        <v>544</v>
      </c>
      <c r="T290" s="887" t="s">
        <v>544</v>
      </c>
      <c r="U290" s="1281" t="s">
        <v>544</v>
      </c>
      <c r="V290" s="860" t="s">
        <v>544</v>
      </c>
      <c r="W290" s="860" t="s">
        <v>544</v>
      </c>
      <c r="X290" s="876" t="s">
        <v>544</v>
      </c>
      <c r="Y290" s="197" t="s">
        <v>544</v>
      </c>
      <c r="Z290" s="880" t="s">
        <v>544</v>
      </c>
      <c r="AA290" s="197" t="s">
        <v>544</v>
      </c>
      <c r="AB290" s="877" t="s">
        <v>544</v>
      </c>
      <c r="AC290" s="197" t="s">
        <v>544</v>
      </c>
      <c r="AD290" s="880" t="s">
        <v>544</v>
      </c>
      <c r="AE290" s="878" t="s">
        <v>544</v>
      </c>
      <c r="AF290" s="54" t="s">
        <v>544</v>
      </c>
      <c r="AG290" s="195" t="s">
        <v>544</v>
      </c>
      <c r="AH290" s="195" t="s">
        <v>544</v>
      </c>
      <c r="AI290" s="186" t="s">
        <v>544</v>
      </c>
    </row>
    <row r="291" spans="1:35" ht="41.25" customHeight="1" thickBot="1" x14ac:dyDescent="0.3">
      <c r="A291" s="705" t="s">
        <v>484</v>
      </c>
      <c r="B291" s="706" t="s">
        <v>484</v>
      </c>
      <c r="C291" s="139" t="s">
        <v>484</v>
      </c>
      <c r="D291" s="112" t="s">
        <v>484</v>
      </c>
      <c r="E291" s="139" t="s">
        <v>484</v>
      </c>
      <c r="F291" s="139" t="s">
        <v>484</v>
      </c>
      <c r="G291" s="789" t="s">
        <v>559</v>
      </c>
      <c r="H291" s="96">
        <f t="shared" ref="H291:Q291" si="19">SUM(H191:H290)</f>
        <v>953948.2884618002</v>
      </c>
      <c r="I291" s="96">
        <f t="shared" si="19"/>
        <v>59957.243340000008</v>
      </c>
      <c r="J291" s="96">
        <f>SUM(J191:J290)</f>
        <v>15684.35219</v>
      </c>
      <c r="K291" s="827">
        <f>SUM(K191:K290)</f>
        <v>33885.420109999999</v>
      </c>
      <c r="L291" s="827">
        <f>SUM(L191:L290)</f>
        <v>14523.008420000002</v>
      </c>
      <c r="M291" s="827">
        <f>SUM(M191:M290)</f>
        <v>10019.85519</v>
      </c>
      <c r="N291" s="1249">
        <f t="shared" si="19"/>
        <v>3085.9285199999995</v>
      </c>
      <c r="O291" s="96">
        <f t="shared" si="19"/>
        <v>12598.42367</v>
      </c>
      <c r="P291" s="96">
        <f t="shared" si="19"/>
        <v>33885.420109999999</v>
      </c>
      <c r="Q291" s="293">
        <f t="shared" si="19"/>
        <v>102285.26931999998</v>
      </c>
      <c r="R291" s="1272">
        <v>163447.02873999998</v>
      </c>
      <c r="S291" s="1273">
        <f t="shared" ref="S291:AD291" si="20">SUM(S191:S290)</f>
        <v>-11591.98712</v>
      </c>
      <c r="T291" s="1272">
        <f t="shared" si="20"/>
        <v>151855.04162</v>
      </c>
      <c r="U291" s="854">
        <f t="shared" si="20"/>
        <v>32811.672999999995</v>
      </c>
      <c r="V291" s="855">
        <f t="shared" si="20"/>
        <v>61677.681000000004</v>
      </c>
      <c r="W291" s="855">
        <f t="shared" si="20"/>
        <v>158785.02913750001</v>
      </c>
      <c r="X291" s="684">
        <f t="shared" si="20"/>
        <v>142201.76356750002</v>
      </c>
      <c r="Y291" s="293">
        <f t="shared" si="20"/>
        <v>395476.14670499996</v>
      </c>
      <c r="Z291" s="293">
        <f t="shared" si="20"/>
        <v>334694.13052500004</v>
      </c>
      <c r="AA291" s="293">
        <f t="shared" si="20"/>
        <v>1881.9362718</v>
      </c>
      <c r="AB291" s="855">
        <f t="shared" si="20"/>
        <v>0</v>
      </c>
      <c r="AC291" s="684">
        <f t="shared" si="20"/>
        <v>10083.790000000001</v>
      </c>
      <c r="AD291" s="827">
        <f t="shared" si="20"/>
        <v>175700</v>
      </c>
      <c r="AE291" s="120" t="s">
        <v>1490</v>
      </c>
      <c r="AF291" s="97" t="s">
        <v>484</v>
      </c>
      <c r="AG291" s="513" t="s">
        <v>484</v>
      </c>
      <c r="AH291" s="254" t="s">
        <v>484</v>
      </c>
      <c r="AI291" s="102" t="s">
        <v>484</v>
      </c>
    </row>
    <row r="292" spans="1:35" ht="30" x14ac:dyDescent="0.25">
      <c r="A292" s="70" t="s">
        <v>190</v>
      </c>
      <c r="B292" s="85" t="s">
        <v>191</v>
      </c>
      <c r="C292" s="5">
        <v>2011</v>
      </c>
      <c r="D292" s="4" t="s">
        <v>961</v>
      </c>
      <c r="E292" s="63" t="s">
        <v>11</v>
      </c>
      <c r="F292" s="64" t="s">
        <v>192</v>
      </c>
      <c r="G292" s="146" t="s">
        <v>193</v>
      </c>
      <c r="H292" s="24">
        <v>43778.67959</v>
      </c>
      <c r="I292" s="6">
        <v>23483.625640000002</v>
      </c>
      <c r="J292" s="24">
        <v>386.95800000000003</v>
      </c>
      <c r="K292" s="1276">
        <v>0</v>
      </c>
      <c r="L292" s="1252">
        <v>17.423999999999999</v>
      </c>
      <c r="M292" s="1248">
        <v>0</v>
      </c>
      <c r="N292" s="851">
        <v>36.299999999999997</v>
      </c>
      <c r="O292" s="28">
        <v>350.65800000000002</v>
      </c>
      <c r="P292" s="496">
        <f>17.424-17.424</f>
        <v>0</v>
      </c>
      <c r="Q292" s="28">
        <f>338.07878+17.424</f>
        <v>355.50277999999997</v>
      </c>
      <c r="R292" s="1263">
        <v>742.46078000000011</v>
      </c>
      <c r="S292" s="1262">
        <v>0</v>
      </c>
      <c r="T292" s="1263">
        <f t="shared" ref="T292:T323" si="21">R292+S292</f>
        <v>742.46078000000011</v>
      </c>
      <c r="U292" s="851">
        <v>0</v>
      </c>
      <c r="V292" s="496">
        <v>0</v>
      </c>
      <c r="W292" s="496">
        <v>7000</v>
      </c>
      <c r="X292" s="25">
        <v>1552.5931700000001</v>
      </c>
      <c r="Y292" s="771">
        <v>8552.5931700000001</v>
      </c>
      <c r="Z292" s="42">
        <v>11000</v>
      </c>
      <c r="AA292" s="1313">
        <v>0</v>
      </c>
      <c r="AB292" s="1316">
        <v>0</v>
      </c>
      <c r="AC292" s="28">
        <v>0</v>
      </c>
      <c r="AD292" s="2071">
        <v>0</v>
      </c>
      <c r="AE292" s="815" t="s">
        <v>484</v>
      </c>
      <c r="AF292" s="5" t="s">
        <v>43</v>
      </c>
      <c r="AG292" s="193" t="s">
        <v>962</v>
      </c>
      <c r="AH292" s="193" t="s">
        <v>514</v>
      </c>
      <c r="AI292" s="104" t="s">
        <v>514</v>
      </c>
    </row>
    <row r="293" spans="1:35" s="388" customFormat="1" ht="30" x14ac:dyDescent="0.25">
      <c r="A293" s="433" t="s">
        <v>196</v>
      </c>
      <c r="B293" s="434" t="s">
        <v>197</v>
      </c>
      <c r="C293" s="382">
        <v>2017</v>
      </c>
      <c r="D293" s="382" t="s">
        <v>114</v>
      </c>
      <c r="E293" s="530" t="s">
        <v>198</v>
      </c>
      <c r="F293" s="567" t="s">
        <v>198</v>
      </c>
      <c r="G293" s="641" t="s">
        <v>199</v>
      </c>
      <c r="H293" s="436">
        <f>16987.48+S293</f>
        <v>15644.09225</v>
      </c>
      <c r="I293" s="436">
        <v>2495.6636899999999</v>
      </c>
      <c r="J293" s="436">
        <v>11540.56171</v>
      </c>
      <c r="K293" s="166">
        <v>1404.5868499999999</v>
      </c>
      <c r="L293" s="1542">
        <v>203.28</v>
      </c>
      <c r="M293" s="1542">
        <v>0</v>
      </c>
      <c r="N293" s="441">
        <f>6000-2536.80487</f>
        <v>3463.1951300000001</v>
      </c>
      <c r="O293" s="1117">
        <v>8077.3665799999999</v>
      </c>
      <c r="P293" s="564">
        <v>1404.5868499999999</v>
      </c>
      <c r="Q293" s="1117">
        <v>203.28</v>
      </c>
      <c r="R293" s="1543">
        <v>14491.816309999998</v>
      </c>
      <c r="S293" s="737">
        <v>-1343.3877500000001</v>
      </c>
      <c r="T293" s="1543">
        <f t="shared" si="21"/>
        <v>13148.428559999998</v>
      </c>
      <c r="U293" s="441">
        <v>0</v>
      </c>
      <c r="V293" s="564">
        <v>0</v>
      </c>
      <c r="W293" s="564">
        <v>0</v>
      </c>
      <c r="X293" s="442">
        <v>0</v>
      </c>
      <c r="Y293" s="1749">
        <v>0</v>
      </c>
      <c r="Z293" s="443">
        <v>0</v>
      </c>
      <c r="AA293" s="439">
        <v>0</v>
      </c>
      <c r="AB293" s="1771">
        <v>0</v>
      </c>
      <c r="AC293" s="1117">
        <v>0</v>
      </c>
      <c r="AD293" s="2069">
        <v>0</v>
      </c>
      <c r="AE293" s="281" t="s">
        <v>1416</v>
      </c>
      <c r="AF293" s="382" t="s">
        <v>535</v>
      </c>
      <c r="AG293" s="566" t="s">
        <v>541</v>
      </c>
      <c r="AH293" s="566" t="s">
        <v>514</v>
      </c>
      <c r="AI293" s="565" t="s">
        <v>514</v>
      </c>
    </row>
    <row r="294" spans="1:35" s="388" customFormat="1" ht="45" x14ac:dyDescent="0.25">
      <c r="A294" s="72" t="s">
        <v>200</v>
      </c>
      <c r="B294" s="114" t="s">
        <v>201</v>
      </c>
      <c r="C294" s="66">
        <v>2017</v>
      </c>
      <c r="D294" s="73" t="s">
        <v>114</v>
      </c>
      <c r="E294" s="67" t="s">
        <v>202</v>
      </c>
      <c r="F294" s="74" t="s">
        <v>202</v>
      </c>
      <c r="G294" s="148" t="s">
        <v>203</v>
      </c>
      <c r="H294" s="36">
        <v>2455.8890000000001</v>
      </c>
      <c r="I294" s="36">
        <v>1843.8889999999999</v>
      </c>
      <c r="J294" s="36">
        <v>156.125</v>
      </c>
      <c r="K294" s="166">
        <v>455.875</v>
      </c>
      <c r="L294" s="1256">
        <v>0</v>
      </c>
      <c r="M294" s="1256">
        <v>0</v>
      </c>
      <c r="N294" s="1124">
        <v>84.7</v>
      </c>
      <c r="O294" s="77">
        <v>71.424999999999997</v>
      </c>
      <c r="P294" s="497">
        <v>455.87499999999994</v>
      </c>
      <c r="Q294" s="77">
        <v>0</v>
      </c>
      <c r="R294" s="1550">
        <v>612</v>
      </c>
      <c r="S294" s="494">
        <v>0</v>
      </c>
      <c r="T294" s="1550">
        <f t="shared" si="21"/>
        <v>612</v>
      </c>
      <c r="U294" s="1124">
        <v>0</v>
      </c>
      <c r="V294" s="497">
        <v>0</v>
      </c>
      <c r="W294" s="497">
        <v>0</v>
      </c>
      <c r="X294" s="19">
        <v>0</v>
      </c>
      <c r="Y294" s="1750">
        <v>0</v>
      </c>
      <c r="Z294" s="209">
        <v>0</v>
      </c>
      <c r="AA294" s="340">
        <v>0</v>
      </c>
      <c r="AB294" s="1049">
        <v>0</v>
      </c>
      <c r="AC294" s="77">
        <v>0</v>
      </c>
      <c r="AD294" s="2089">
        <v>0</v>
      </c>
      <c r="AE294" s="121" t="s">
        <v>484</v>
      </c>
      <c r="AF294" s="66" t="s">
        <v>535</v>
      </c>
      <c r="AG294" s="1751" t="s">
        <v>540</v>
      </c>
      <c r="AH294" s="210" t="s">
        <v>514</v>
      </c>
      <c r="AI294" s="65" t="s">
        <v>514</v>
      </c>
    </row>
    <row r="295" spans="1:35" ht="30" x14ac:dyDescent="0.25">
      <c r="A295" s="70" t="s">
        <v>204</v>
      </c>
      <c r="B295" s="85" t="s">
        <v>205</v>
      </c>
      <c r="C295" s="5">
        <v>2017</v>
      </c>
      <c r="D295" s="5" t="s">
        <v>114</v>
      </c>
      <c r="E295" s="63" t="s">
        <v>206</v>
      </c>
      <c r="F295" s="64" t="s">
        <v>206</v>
      </c>
      <c r="G295" s="146" t="s">
        <v>207</v>
      </c>
      <c r="H295" s="24">
        <v>1452</v>
      </c>
      <c r="I295" s="24">
        <v>1064.8</v>
      </c>
      <c r="J295" s="24">
        <v>0</v>
      </c>
      <c r="K295" s="782">
        <v>0</v>
      </c>
      <c r="L295" s="1252">
        <v>0</v>
      </c>
      <c r="M295" s="1252">
        <v>0</v>
      </c>
      <c r="N295" s="851">
        <v>0</v>
      </c>
      <c r="O295" s="28">
        <v>0</v>
      </c>
      <c r="P295" s="496">
        <v>0</v>
      </c>
      <c r="Q295" s="28">
        <v>387.2</v>
      </c>
      <c r="R295" s="1268">
        <v>387.2</v>
      </c>
      <c r="S295" s="1269">
        <v>0</v>
      </c>
      <c r="T295" s="1268">
        <f t="shared" si="21"/>
        <v>387.2</v>
      </c>
      <c r="U295" s="851">
        <v>0</v>
      </c>
      <c r="V295" s="496">
        <v>0</v>
      </c>
      <c r="W295" s="496">
        <v>0</v>
      </c>
      <c r="X295" s="25">
        <v>0</v>
      </c>
      <c r="Y295" s="771">
        <v>0</v>
      </c>
      <c r="Z295" s="42">
        <v>0</v>
      </c>
      <c r="AA295" s="1313">
        <v>0</v>
      </c>
      <c r="AB295" s="1311">
        <v>0</v>
      </c>
      <c r="AC295" s="28">
        <v>0</v>
      </c>
      <c r="AD295" s="2071">
        <v>0</v>
      </c>
      <c r="AE295" s="117" t="s">
        <v>484</v>
      </c>
      <c r="AF295" s="5" t="s">
        <v>43</v>
      </c>
      <c r="AG295" s="193" t="s">
        <v>208</v>
      </c>
      <c r="AH295" s="193" t="s">
        <v>514</v>
      </c>
      <c r="AI295" s="104" t="s">
        <v>514</v>
      </c>
    </row>
    <row r="296" spans="1:35" s="391" customFormat="1" ht="38.25" x14ac:dyDescent="0.25">
      <c r="A296" s="70" t="s">
        <v>209</v>
      </c>
      <c r="B296" s="85" t="s">
        <v>210</v>
      </c>
      <c r="C296" s="4">
        <v>2017</v>
      </c>
      <c r="D296" s="5" t="s">
        <v>625</v>
      </c>
      <c r="E296" s="63" t="s">
        <v>211</v>
      </c>
      <c r="F296" s="64" t="s">
        <v>520</v>
      </c>
      <c r="G296" s="146" t="s">
        <v>212</v>
      </c>
      <c r="H296" s="16">
        <f>31863.701+5998.148</f>
        <v>37861.849000000002</v>
      </c>
      <c r="I296" s="16">
        <v>2152.75</v>
      </c>
      <c r="J296" s="24">
        <v>5407.5926200000004</v>
      </c>
      <c r="K296" s="412">
        <v>6057.2692499999994</v>
      </c>
      <c r="L296" s="1252">
        <f>2552.58802+181.5+2032.18837</f>
        <v>4766.27639</v>
      </c>
      <c r="M296" s="1252">
        <v>0</v>
      </c>
      <c r="N296" s="850">
        <f>2500-2437.685</f>
        <v>62.315000000000055</v>
      </c>
      <c r="O296" s="29">
        <v>5345.2776199999998</v>
      </c>
      <c r="P296" s="201">
        <f>6057+0.26925</f>
        <v>6057.2692500000003</v>
      </c>
      <c r="Q296" s="29">
        <f>6210.951+5998.148+5092.40738+6943-0.26925</f>
        <v>24244.237129999998</v>
      </c>
      <c r="R296" s="1268">
        <v>35709.099000000002</v>
      </c>
      <c r="S296" s="1269">
        <v>0</v>
      </c>
      <c r="T296" s="1268">
        <f t="shared" si="21"/>
        <v>35709.099000000002</v>
      </c>
      <c r="U296" s="850">
        <v>0</v>
      </c>
      <c r="V296" s="201">
        <v>0</v>
      </c>
      <c r="W296" s="201">
        <v>0</v>
      </c>
      <c r="X296" s="17">
        <v>0</v>
      </c>
      <c r="Y296" s="42">
        <v>0</v>
      </c>
      <c r="Z296" s="42">
        <v>0</v>
      </c>
      <c r="AA296" s="1313">
        <v>0</v>
      </c>
      <c r="AB296" s="1311">
        <v>0</v>
      </c>
      <c r="AC296" s="29">
        <v>0</v>
      </c>
      <c r="AD296" s="2071">
        <v>0</v>
      </c>
      <c r="AE296" s="117" t="s">
        <v>484</v>
      </c>
      <c r="AF296" s="5" t="s">
        <v>43</v>
      </c>
      <c r="AG296" s="193" t="s">
        <v>208</v>
      </c>
      <c r="AH296" s="193" t="s">
        <v>514</v>
      </c>
      <c r="AI296" s="104" t="s">
        <v>514</v>
      </c>
    </row>
    <row r="297" spans="1:35" ht="45" x14ac:dyDescent="0.25">
      <c r="A297" s="70" t="s">
        <v>213</v>
      </c>
      <c r="B297" s="115" t="s">
        <v>214</v>
      </c>
      <c r="C297" s="4">
        <v>2017</v>
      </c>
      <c r="D297" s="5" t="s">
        <v>624</v>
      </c>
      <c r="E297" s="63" t="s">
        <v>215</v>
      </c>
      <c r="F297" s="64" t="s">
        <v>215</v>
      </c>
      <c r="G297" s="146" t="s">
        <v>216</v>
      </c>
      <c r="H297" s="16">
        <v>1560.66</v>
      </c>
      <c r="I297" s="16">
        <v>91.5</v>
      </c>
      <c r="J297" s="24">
        <v>0</v>
      </c>
      <c r="K297" s="412">
        <v>0</v>
      </c>
      <c r="L297" s="1252">
        <v>0</v>
      </c>
      <c r="M297" s="1252">
        <v>0</v>
      </c>
      <c r="N297" s="850">
        <v>0</v>
      </c>
      <c r="O297" s="29">
        <v>0</v>
      </c>
      <c r="P297" s="201">
        <v>0</v>
      </c>
      <c r="Q297" s="29">
        <v>0</v>
      </c>
      <c r="R297" s="1268">
        <v>0</v>
      </c>
      <c r="S297" s="1269">
        <v>0</v>
      </c>
      <c r="T297" s="1268">
        <f t="shared" si="21"/>
        <v>0</v>
      </c>
      <c r="U297" s="850">
        <v>0</v>
      </c>
      <c r="V297" s="201">
        <v>0</v>
      </c>
      <c r="W297" s="201">
        <v>1469.16</v>
      </c>
      <c r="X297" s="17">
        <v>0</v>
      </c>
      <c r="Y297" s="42">
        <v>1469.16</v>
      </c>
      <c r="Z297" s="42">
        <v>0</v>
      </c>
      <c r="AA297" s="1313">
        <v>0</v>
      </c>
      <c r="AB297" s="1311">
        <v>0</v>
      </c>
      <c r="AC297" s="29">
        <v>0</v>
      </c>
      <c r="AD297" s="2073">
        <v>0</v>
      </c>
      <c r="AE297" s="52" t="s">
        <v>484</v>
      </c>
      <c r="AF297" s="5" t="s">
        <v>19</v>
      </c>
      <c r="AG297" s="193" t="s">
        <v>208</v>
      </c>
      <c r="AH297" s="193" t="s">
        <v>513</v>
      </c>
      <c r="AI297" s="104" t="s">
        <v>513</v>
      </c>
    </row>
    <row r="298" spans="1:35" ht="38.25" x14ac:dyDescent="0.25">
      <c r="A298" s="70" t="s">
        <v>219</v>
      </c>
      <c r="B298" s="93" t="s">
        <v>220</v>
      </c>
      <c r="C298" s="81">
        <v>2018</v>
      </c>
      <c r="D298" s="81" t="s">
        <v>521</v>
      </c>
      <c r="E298" s="80" t="s">
        <v>11</v>
      </c>
      <c r="F298" s="424" t="s">
        <v>11</v>
      </c>
      <c r="G298" s="426" t="s">
        <v>221</v>
      </c>
      <c r="H298" s="24">
        <v>5000</v>
      </c>
      <c r="I298" s="24">
        <v>3880.9859999999999</v>
      </c>
      <c r="J298" s="24">
        <v>0</v>
      </c>
      <c r="K298" s="1381">
        <v>0</v>
      </c>
      <c r="L298" s="1252">
        <f>28+120+20+2+123+89+20+20</f>
        <v>422</v>
      </c>
      <c r="M298" s="1252">
        <f>100+75+40+360</f>
        <v>575</v>
      </c>
      <c r="N298" s="851">
        <v>0</v>
      </c>
      <c r="O298" s="28">
        <v>0</v>
      </c>
      <c r="P298" s="496">
        <v>0</v>
      </c>
      <c r="Q298" s="28">
        <v>1119.0140000000001</v>
      </c>
      <c r="R298" s="1268">
        <v>1119.0140000000001</v>
      </c>
      <c r="S298" s="1269">
        <v>0</v>
      </c>
      <c r="T298" s="1268">
        <f t="shared" si="21"/>
        <v>1119.0140000000001</v>
      </c>
      <c r="U298" s="851">
        <v>0</v>
      </c>
      <c r="V298" s="496">
        <v>0</v>
      </c>
      <c r="W298" s="496">
        <v>0</v>
      </c>
      <c r="X298" s="25">
        <v>0</v>
      </c>
      <c r="Y298" s="25">
        <v>0</v>
      </c>
      <c r="Z298" s="42">
        <v>0</v>
      </c>
      <c r="AA298" s="30">
        <v>0</v>
      </c>
      <c r="AB298" s="201">
        <v>0</v>
      </c>
      <c r="AC298" s="28">
        <v>0</v>
      </c>
      <c r="AD298" s="2071">
        <v>0</v>
      </c>
      <c r="AE298" s="117" t="s">
        <v>484</v>
      </c>
      <c r="AF298" s="117" t="s">
        <v>177</v>
      </c>
      <c r="AG298" s="193" t="s">
        <v>208</v>
      </c>
      <c r="AH298" s="137" t="s">
        <v>514</v>
      </c>
      <c r="AI298" s="402" t="s">
        <v>513</v>
      </c>
    </row>
    <row r="299" spans="1:35" ht="30" x14ac:dyDescent="0.25">
      <c r="A299" s="70" t="s">
        <v>222</v>
      </c>
      <c r="B299" s="93" t="s">
        <v>223</v>
      </c>
      <c r="C299" s="5">
        <v>2018</v>
      </c>
      <c r="D299" s="5" t="s">
        <v>502</v>
      </c>
      <c r="E299" s="63" t="s">
        <v>11</v>
      </c>
      <c r="F299" s="64" t="s">
        <v>11</v>
      </c>
      <c r="G299" s="146" t="s">
        <v>522</v>
      </c>
      <c r="H299" s="16">
        <v>17500</v>
      </c>
      <c r="I299" s="16">
        <v>0</v>
      </c>
      <c r="J299" s="24">
        <v>0</v>
      </c>
      <c r="K299" s="412">
        <v>0</v>
      </c>
      <c r="L299" s="1252">
        <v>0</v>
      </c>
      <c r="M299" s="1252">
        <v>0</v>
      </c>
      <c r="N299" s="850">
        <v>0</v>
      </c>
      <c r="O299" s="29">
        <v>0</v>
      </c>
      <c r="P299" s="201">
        <v>0</v>
      </c>
      <c r="Q299" s="29">
        <v>0</v>
      </c>
      <c r="R299" s="1268">
        <v>0</v>
      </c>
      <c r="S299" s="1269">
        <v>0</v>
      </c>
      <c r="T299" s="1268">
        <f t="shared" si="21"/>
        <v>0</v>
      </c>
      <c r="U299" s="850">
        <v>0</v>
      </c>
      <c r="V299" s="201">
        <v>0</v>
      </c>
      <c r="W299" s="201">
        <v>0</v>
      </c>
      <c r="X299" s="17">
        <v>5000</v>
      </c>
      <c r="Y299" s="42">
        <v>5000</v>
      </c>
      <c r="Z299" s="42">
        <v>12500</v>
      </c>
      <c r="AA299" s="1313">
        <v>0</v>
      </c>
      <c r="AB299" s="1311">
        <v>0</v>
      </c>
      <c r="AC299" s="29">
        <v>0</v>
      </c>
      <c r="AD299" s="2073">
        <v>0</v>
      </c>
      <c r="AE299" s="52" t="s">
        <v>484</v>
      </c>
      <c r="AF299" s="5" t="s">
        <v>177</v>
      </c>
      <c r="AG299" s="193" t="s">
        <v>962</v>
      </c>
      <c r="AH299" s="193" t="s">
        <v>513</v>
      </c>
      <c r="AI299" s="104" t="s">
        <v>513</v>
      </c>
    </row>
    <row r="300" spans="1:35" ht="30" x14ac:dyDescent="0.25">
      <c r="A300" s="70" t="s">
        <v>226</v>
      </c>
      <c r="B300" s="93" t="s">
        <v>227</v>
      </c>
      <c r="C300" s="5">
        <v>2018</v>
      </c>
      <c r="D300" s="81" t="s">
        <v>78</v>
      </c>
      <c r="E300" s="80" t="s">
        <v>228</v>
      </c>
      <c r="F300" s="424" t="s">
        <v>228</v>
      </c>
      <c r="G300" s="426" t="s">
        <v>229</v>
      </c>
      <c r="H300" s="24">
        <v>19061.2</v>
      </c>
      <c r="I300" s="24">
        <v>1685.058</v>
      </c>
      <c r="J300" s="24">
        <v>8348.9040000000005</v>
      </c>
      <c r="K300" s="412">
        <v>5358.9090000000006</v>
      </c>
      <c r="L300" s="782">
        <v>1390.4680000000001</v>
      </c>
      <c r="M300" s="782">
        <v>0</v>
      </c>
      <c r="N300" s="850">
        <f>6000-2364.997</f>
        <v>3635.0030000000002</v>
      </c>
      <c r="O300" s="29">
        <f>6700-1986.099</f>
        <v>4713.9009999999998</v>
      </c>
      <c r="P300" s="201">
        <f>5359-0.091</f>
        <v>5358.9089999999997</v>
      </c>
      <c r="Q300" s="29">
        <f>3668.238+0.091</f>
        <v>3668.3289999999997</v>
      </c>
      <c r="R300" s="1268">
        <v>17376.142</v>
      </c>
      <c r="S300" s="1269">
        <v>0</v>
      </c>
      <c r="T300" s="1268">
        <f t="shared" si="21"/>
        <v>17376.142</v>
      </c>
      <c r="U300" s="850">
        <v>0</v>
      </c>
      <c r="V300" s="201">
        <v>0</v>
      </c>
      <c r="W300" s="201">
        <v>0</v>
      </c>
      <c r="X300" s="17">
        <v>0</v>
      </c>
      <c r="Y300" s="42">
        <v>0</v>
      </c>
      <c r="Z300" s="42">
        <v>0</v>
      </c>
      <c r="AA300" s="1313">
        <v>0</v>
      </c>
      <c r="AB300" s="1311">
        <v>0</v>
      </c>
      <c r="AC300" s="28">
        <v>0</v>
      </c>
      <c r="AD300" s="2071">
        <v>0</v>
      </c>
      <c r="AE300" s="52" t="s">
        <v>484</v>
      </c>
      <c r="AF300" s="117" t="s">
        <v>43</v>
      </c>
      <c r="AG300" s="834" t="s">
        <v>208</v>
      </c>
      <c r="AH300" s="137" t="s">
        <v>514</v>
      </c>
      <c r="AI300" s="81" t="s">
        <v>514</v>
      </c>
    </row>
    <row r="301" spans="1:35" ht="30" x14ac:dyDescent="0.25">
      <c r="A301" s="70" t="s">
        <v>230</v>
      </c>
      <c r="B301" s="85" t="s">
        <v>231</v>
      </c>
      <c r="C301" s="5">
        <v>2018</v>
      </c>
      <c r="D301" s="5" t="s">
        <v>502</v>
      </c>
      <c r="E301" s="63" t="s">
        <v>232</v>
      </c>
      <c r="F301" s="64" t="s">
        <v>232</v>
      </c>
      <c r="G301" s="146" t="s">
        <v>233</v>
      </c>
      <c r="H301" s="16">
        <v>44571.911999999997</v>
      </c>
      <c r="I301" s="16">
        <v>0</v>
      </c>
      <c r="J301" s="24">
        <v>0</v>
      </c>
      <c r="K301" s="412">
        <v>0</v>
      </c>
      <c r="L301" s="1248">
        <v>0</v>
      </c>
      <c r="M301" s="1248">
        <v>0</v>
      </c>
      <c r="N301" s="849">
        <v>0</v>
      </c>
      <c r="O301" s="27">
        <v>0</v>
      </c>
      <c r="P301" s="347">
        <f>1633.703-1633.703</f>
        <v>0</v>
      </c>
      <c r="Q301" s="27">
        <f>1000+1633.703</f>
        <v>2633.703</v>
      </c>
      <c r="R301" s="1268">
        <v>2633.703</v>
      </c>
      <c r="S301" s="1269">
        <v>0</v>
      </c>
      <c r="T301" s="1268">
        <f t="shared" si="21"/>
        <v>2633.703</v>
      </c>
      <c r="U301" s="849">
        <v>0</v>
      </c>
      <c r="V301" s="347">
        <v>7000</v>
      </c>
      <c r="W301" s="347">
        <v>10000</v>
      </c>
      <c r="X301" s="2">
        <v>8571.9120000000003</v>
      </c>
      <c r="Y301" s="43">
        <v>25571.912</v>
      </c>
      <c r="Z301" s="43">
        <v>16366.297</v>
      </c>
      <c r="AA301" s="1313">
        <v>0</v>
      </c>
      <c r="AB301" s="1311">
        <v>0</v>
      </c>
      <c r="AC301" s="29">
        <v>0</v>
      </c>
      <c r="AD301" s="2073">
        <v>0</v>
      </c>
      <c r="AE301" s="52" t="s">
        <v>484</v>
      </c>
      <c r="AF301" s="5" t="s">
        <v>19</v>
      </c>
      <c r="AG301" s="193" t="s">
        <v>899</v>
      </c>
      <c r="AH301" s="193" t="s">
        <v>513</v>
      </c>
      <c r="AI301" s="104" t="s">
        <v>513</v>
      </c>
    </row>
    <row r="302" spans="1:35" ht="25.5" x14ac:dyDescent="0.25">
      <c r="A302" s="70" t="s">
        <v>234</v>
      </c>
      <c r="B302" s="85" t="s">
        <v>235</v>
      </c>
      <c r="C302" s="5">
        <v>2018</v>
      </c>
      <c r="D302" s="5" t="s">
        <v>502</v>
      </c>
      <c r="E302" s="63" t="s">
        <v>232</v>
      </c>
      <c r="F302" s="64" t="s">
        <v>232</v>
      </c>
      <c r="G302" s="146" t="s">
        <v>1031</v>
      </c>
      <c r="H302" s="16">
        <v>96.8</v>
      </c>
      <c r="I302" s="16">
        <v>0</v>
      </c>
      <c r="J302" s="16">
        <v>0</v>
      </c>
      <c r="K302" s="412">
        <v>0</v>
      </c>
      <c r="L302" s="782">
        <v>0</v>
      </c>
      <c r="M302" s="782">
        <v>0</v>
      </c>
      <c r="N302" s="850">
        <v>0</v>
      </c>
      <c r="O302" s="29">
        <v>0</v>
      </c>
      <c r="P302" s="201">
        <v>0</v>
      </c>
      <c r="Q302" s="29">
        <v>0</v>
      </c>
      <c r="R302" s="1268">
        <v>0</v>
      </c>
      <c r="S302" s="1269">
        <v>0</v>
      </c>
      <c r="T302" s="1268">
        <f t="shared" si="21"/>
        <v>0</v>
      </c>
      <c r="U302" s="850">
        <v>0</v>
      </c>
      <c r="V302" s="201">
        <v>0</v>
      </c>
      <c r="W302" s="201">
        <v>96.8</v>
      </c>
      <c r="X302" s="17">
        <v>0</v>
      </c>
      <c r="Y302" s="42">
        <v>96.8</v>
      </c>
      <c r="Z302" s="42">
        <v>0</v>
      </c>
      <c r="AA302" s="1313">
        <v>0</v>
      </c>
      <c r="AB302" s="1311">
        <v>0</v>
      </c>
      <c r="AC302" s="29">
        <v>0</v>
      </c>
      <c r="AD302" s="2071">
        <v>0</v>
      </c>
      <c r="AE302" s="117" t="s">
        <v>484</v>
      </c>
      <c r="AF302" s="5" t="s">
        <v>177</v>
      </c>
      <c r="AG302" s="193" t="s">
        <v>836</v>
      </c>
      <c r="AH302" s="193" t="s">
        <v>513</v>
      </c>
      <c r="AI302" s="104" t="s">
        <v>513</v>
      </c>
    </row>
    <row r="303" spans="1:35" ht="30" x14ac:dyDescent="0.25">
      <c r="A303" s="62" t="s">
        <v>236</v>
      </c>
      <c r="B303" s="85" t="s">
        <v>237</v>
      </c>
      <c r="C303" s="5">
        <v>2018</v>
      </c>
      <c r="D303" s="5" t="s">
        <v>502</v>
      </c>
      <c r="E303" s="63" t="s">
        <v>238</v>
      </c>
      <c r="F303" s="64" t="s">
        <v>239</v>
      </c>
      <c r="G303" s="146" t="s">
        <v>240</v>
      </c>
      <c r="H303" s="16">
        <v>248655</v>
      </c>
      <c r="I303" s="16">
        <v>0</v>
      </c>
      <c r="J303" s="16">
        <v>1790.7999999999997</v>
      </c>
      <c r="K303" s="412">
        <v>0</v>
      </c>
      <c r="L303" s="782">
        <v>0</v>
      </c>
      <c r="M303" s="782">
        <v>0</v>
      </c>
      <c r="N303" s="850">
        <v>1790.8</v>
      </c>
      <c r="O303" s="29">
        <v>0</v>
      </c>
      <c r="P303" s="201">
        <f>3000-3000</f>
        <v>0</v>
      </c>
      <c r="Q303" s="29">
        <f>4459.35+3000-1107.15</f>
        <v>6352.2000000000007</v>
      </c>
      <c r="R303" s="1268">
        <v>8143</v>
      </c>
      <c r="S303" s="1269">
        <v>0</v>
      </c>
      <c r="T303" s="1268">
        <f t="shared" si="21"/>
        <v>8143</v>
      </c>
      <c r="U303" s="850">
        <v>0</v>
      </c>
      <c r="V303" s="201">
        <v>6000</v>
      </c>
      <c r="W303" s="201">
        <v>6000</v>
      </c>
      <c r="X303" s="17">
        <v>6764</v>
      </c>
      <c r="Y303" s="42">
        <v>18764</v>
      </c>
      <c r="Z303" s="42">
        <v>221748</v>
      </c>
      <c r="AA303" s="1313">
        <v>0</v>
      </c>
      <c r="AB303" s="1311">
        <v>0</v>
      </c>
      <c r="AC303" s="29">
        <v>0</v>
      </c>
      <c r="AD303" s="2073">
        <v>0</v>
      </c>
      <c r="AE303" s="52" t="s">
        <v>484</v>
      </c>
      <c r="AF303" s="5" t="s">
        <v>19</v>
      </c>
      <c r="AG303" s="193" t="s">
        <v>208</v>
      </c>
      <c r="AH303" s="193" t="s">
        <v>513</v>
      </c>
      <c r="AI303" s="104" t="s">
        <v>513</v>
      </c>
    </row>
    <row r="304" spans="1:35" ht="30.75" thickBot="1" x14ac:dyDescent="0.3">
      <c r="A304" s="124" t="s">
        <v>241</v>
      </c>
      <c r="B304" s="126" t="s">
        <v>242</v>
      </c>
      <c r="C304" s="125">
        <v>2018</v>
      </c>
      <c r="D304" s="125" t="s">
        <v>502</v>
      </c>
      <c r="E304" s="86" t="s">
        <v>202</v>
      </c>
      <c r="F304" s="446" t="s">
        <v>202</v>
      </c>
      <c r="G304" s="772" t="s">
        <v>524</v>
      </c>
      <c r="H304" s="46">
        <v>248655</v>
      </c>
      <c r="I304" s="46">
        <v>0</v>
      </c>
      <c r="J304" s="46">
        <v>0</v>
      </c>
      <c r="K304" s="835">
        <v>1724.069</v>
      </c>
      <c r="L304" s="835">
        <v>0</v>
      </c>
      <c r="M304" s="835">
        <v>0</v>
      </c>
      <c r="N304" s="845">
        <f>1000-1000</f>
        <v>0</v>
      </c>
      <c r="O304" s="98">
        <v>0</v>
      </c>
      <c r="P304" s="203">
        <f>998.069+726</f>
        <v>1724.069</v>
      </c>
      <c r="Q304" s="98">
        <v>275.93100000000004</v>
      </c>
      <c r="R304" s="1270">
        <v>2000</v>
      </c>
      <c r="S304" s="1271">
        <v>0</v>
      </c>
      <c r="T304" s="1270">
        <f t="shared" si="21"/>
        <v>2000</v>
      </c>
      <c r="U304" s="845">
        <v>2000</v>
      </c>
      <c r="V304" s="203">
        <v>4000</v>
      </c>
      <c r="W304" s="203">
        <v>8000</v>
      </c>
      <c r="X304" s="47">
        <v>9455</v>
      </c>
      <c r="Y304" s="447">
        <f>18300+5155</f>
        <v>23455</v>
      </c>
      <c r="Z304" s="447">
        <v>223200</v>
      </c>
      <c r="AA304" s="48">
        <v>0</v>
      </c>
      <c r="AB304" s="203">
        <v>0</v>
      </c>
      <c r="AC304" s="98">
        <v>0</v>
      </c>
      <c r="AD304" s="1203">
        <v>0</v>
      </c>
      <c r="AE304" s="122" t="s">
        <v>484</v>
      </c>
      <c r="AF304" s="125" t="s">
        <v>19</v>
      </c>
      <c r="AG304" s="194" t="s">
        <v>208</v>
      </c>
      <c r="AH304" s="194" t="s">
        <v>513</v>
      </c>
      <c r="AI304" s="128" t="s">
        <v>513</v>
      </c>
    </row>
    <row r="305" spans="1:35" ht="30" x14ac:dyDescent="0.25">
      <c r="A305" s="70" t="s">
        <v>244</v>
      </c>
      <c r="B305" s="85" t="s">
        <v>525</v>
      </c>
      <c r="C305" s="5">
        <v>2019</v>
      </c>
      <c r="D305" s="5" t="s">
        <v>498</v>
      </c>
      <c r="E305" s="63" t="s">
        <v>202</v>
      </c>
      <c r="F305" s="64" t="s">
        <v>202</v>
      </c>
      <c r="G305" s="146" t="s">
        <v>245</v>
      </c>
      <c r="H305" s="16">
        <v>11500</v>
      </c>
      <c r="I305" s="16">
        <v>299.11333000000002</v>
      </c>
      <c r="J305" s="6">
        <v>491.26</v>
      </c>
      <c r="K305" s="412">
        <v>0</v>
      </c>
      <c r="L305" s="1248">
        <v>0</v>
      </c>
      <c r="M305" s="1248">
        <v>0</v>
      </c>
      <c r="N305" s="849">
        <v>0</v>
      </c>
      <c r="O305" s="27">
        <f>500-8.74</f>
        <v>491.26</v>
      </c>
      <c r="P305" s="347">
        <v>0</v>
      </c>
      <c r="Q305" s="27">
        <v>988.74</v>
      </c>
      <c r="R305" s="1263">
        <v>1480</v>
      </c>
      <c r="S305" s="1262">
        <v>0</v>
      </c>
      <c r="T305" s="1263">
        <f t="shared" si="21"/>
        <v>1480</v>
      </c>
      <c r="U305" s="849">
        <v>0</v>
      </c>
      <c r="V305" s="347">
        <v>0</v>
      </c>
      <c r="W305" s="347">
        <v>9720.8866699999999</v>
      </c>
      <c r="X305" s="2">
        <v>0</v>
      </c>
      <c r="Y305" s="42">
        <v>9720.8866699999999</v>
      </c>
      <c r="Z305" s="42">
        <v>0</v>
      </c>
      <c r="AA305" s="33">
        <v>0</v>
      </c>
      <c r="AB305" s="347">
        <v>0</v>
      </c>
      <c r="AC305" s="29">
        <v>0</v>
      </c>
      <c r="AD305" s="2073">
        <v>0</v>
      </c>
      <c r="AE305" s="52" t="s">
        <v>484</v>
      </c>
      <c r="AF305" s="52" t="s">
        <v>19</v>
      </c>
      <c r="AG305" s="192" t="s">
        <v>208</v>
      </c>
      <c r="AH305" s="823" t="s">
        <v>513</v>
      </c>
      <c r="AI305" s="402" t="s">
        <v>513</v>
      </c>
    </row>
    <row r="306" spans="1:35" s="391" customFormat="1" ht="30" x14ac:dyDescent="0.25">
      <c r="A306" s="70" t="s">
        <v>246</v>
      </c>
      <c r="B306" s="85" t="s">
        <v>526</v>
      </c>
      <c r="C306" s="5">
        <v>2019</v>
      </c>
      <c r="D306" s="5" t="s">
        <v>498</v>
      </c>
      <c r="E306" s="63" t="s">
        <v>217</v>
      </c>
      <c r="F306" s="64" t="s">
        <v>224</v>
      </c>
      <c r="G306" s="146" t="s">
        <v>247</v>
      </c>
      <c r="H306" s="16">
        <f>46500+2025</f>
        <v>48525</v>
      </c>
      <c r="I306" s="16">
        <v>0</v>
      </c>
      <c r="J306" s="16">
        <v>1127.8853899999999</v>
      </c>
      <c r="K306" s="412">
        <v>435.18274000000002</v>
      </c>
      <c r="L306" s="782">
        <v>441.10550000000001</v>
      </c>
      <c r="M306" s="782">
        <v>366.98090000000002</v>
      </c>
      <c r="N306" s="850">
        <f>2500-2439.5</f>
        <v>60.5</v>
      </c>
      <c r="O306" s="29">
        <f>1100-32.61461</f>
        <v>1067.3853899999999</v>
      </c>
      <c r="P306" s="201">
        <f>398.88274+36.3</f>
        <v>435.18274000000002</v>
      </c>
      <c r="Q306" s="29">
        <f>5973.73187+1499.5-36.3</f>
        <v>7436.9318699999994</v>
      </c>
      <c r="R306" s="1268">
        <v>9000</v>
      </c>
      <c r="S306" s="1269">
        <v>0</v>
      </c>
      <c r="T306" s="1268">
        <f t="shared" si="21"/>
        <v>9000</v>
      </c>
      <c r="U306" s="850">
        <v>500</v>
      </c>
      <c r="V306" s="201">
        <v>6000</v>
      </c>
      <c r="W306" s="201">
        <v>6000</v>
      </c>
      <c r="X306" s="17">
        <v>6000</v>
      </c>
      <c r="Y306" s="42">
        <v>18500</v>
      </c>
      <c r="Z306" s="42">
        <v>21025</v>
      </c>
      <c r="AA306" s="33">
        <v>0</v>
      </c>
      <c r="AB306" s="201">
        <v>0</v>
      </c>
      <c r="AC306" s="29">
        <v>0</v>
      </c>
      <c r="AD306" s="2073">
        <v>0</v>
      </c>
      <c r="AE306" s="52" t="s">
        <v>484</v>
      </c>
      <c r="AF306" s="52" t="s">
        <v>43</v>
      </c>
      <c r="AG306" s="193" t="s">
        <v>962</v>
      </c>
      <c r="AH306" s="1215" t="s">
        <v>514</v>
      </c>
      <c r="AI306" s="334" t="s">
        <v>514</v>
      </c>
    </row>
    <row r="307" spans="1:35" ht="30" x14ac:dyDescent="0.25">
      <c r="A307" s="62" t="s">
        <v>248</v>
      </c>
      <c r="B307" s="85" t="s">
        <v>527</v>
      </c>
      <c r="C307" s="5">
        <v>2019</v>
      </c>
      <c r="D307" s="5" t="s">
        <v>498</v>
      </c>
      <c r="E307" s="63" t="s">
        <v>249</v>
      </c>
      <c r="F307" s="64" t="s">
        <v>249</v>
      </c>
      <c r="G307" s="146" t="s">
        <v>250</v>
      </c>
      <c r="H307" s="16">
        <v>7499.5144399999999</v>
      </c>
      <c r="I307" s="16">
        <v>0</v>
      </c>
      <c r="J307" s="1">
        <v>30.285</v>
      </c>
      <c r="K307" s="412">
        <v>1461.6657500000001</v>
      </c>
      <c r="L307" s="839">
        <v>0</v>
      </c>
      <c r="M307" s="782">
        <v>0</v>
      </c>
      <c r="N307" s="849">
        <f>500-500</f>
        <v>0</v>
      </c>
      <c r="O307" s="29">
        <v>30.285</v>
      </c>
      <c r="P307" s="201">
        <f>3000-1538.33425</f>
        <v>1461.6657499999999</v>
      </c>
      <c r="Q307" s="29">
        <f>1749.51444+2719.715+1538.33425</f>
        <v>6007.56369</v>
      </c>
      <c r="R307" s="1268">
        <v>7499.5144399999999</v>
      </c>
      <c r="S307" s="1269">
        <v>0</v>
      </c>
      <c r="T307" s="1268">
        <f t="shared" si="21"/>
        <v>7499.5144399999999</v>
      </c>
      <c r="U307" s="850">
        <v>0</v>
      </c>
      <c r="V307" s="201">
        <v>0</v>
      </c>
      <c r="W307" s="201">
        <v>0</v>
      </c>
      <c r="X307" s="17">
        <v>0</v>
      </c>
      <c r="Y307" s="42">
        <v>0</v>
      </c>
      <c r="Z307" s="42">
        <v>0</v>
      </c>
      <c r="AA307" s="33">
        <v>0</v>
      </c>
      <c r="AB307" s="201">
        <v>0</v>
      </c>
      <c r="AC307" s="29">
        <v>0</v>
      </c>
      <c r="AD307" s="2073">
        <v>0</v>
      </c>
      <c r="AE307" s="52" t="s">
        <v>484</v>
      </c>
      <c r="AF307" s="52" t="s">
        <v>43</v>
      </c>
      <c r="AG307" s="193" t="s">
        <v>208</v>
      </c>
      <c r="AH307" s="1215" t="s">
        <v>514</v>
      </c>
      <c r="AI307" s="334" t="s">
        <v>514</v>
      </c>
    </row>
    <row r="308" spans="1:35" s="387" customFormat="1" ht="30" x14ac:dyDescent="0.25">
      <c r="A308" s="70" t="s">
        <v>251</v>
      </c>
      <c r="B308" s="85" t="s">
        <v>528</v>
      </c>
      <c r="C308" s="5">
        <v>2019</v>
      </c>
      <c r="D308" s="5" t="s">
        <v>498</v>
      </c>
      <c r="E308" s="63" t="s">
        <v>195</v>
      </c>
      <c r="F308" s="64" t="s">
        <v>195</v>
      </c>
      <c r="G308" s="146" t="s">
        <v>493</v>
      </c>
      <c r="H308" s="16">
        <v>50410.85</v>
      </c>
      <c r="I308" s="16">
        <v>0</v>
      </c>
      <c r="J308" s="1">
        <v>0</v>
      </c>
      <c r="K308" s="412">
        <v>0</v>
      </c>
      <c r="L308" s="839">
        <v>0</v>
      </c>
      <c r="M308" s="839">
        <v>0</v>
      </c>
      <c r="N308" s="850">
        <v>0</v>
      </c>
      <c r="O308" s="29">
        <v>0</v>
      </c>
      <c r="P308" s="201">
        <v>0</v>
      </c>
      <c r="Q308" s="29">
        <v>2830</v>
      </c>
      <c r="R308" s="1268">
        <v>2830</v>
      </c>
      <c r="S308" s="1269">
        <v>0</v>
      </c>
      <c r="T308" s="1268">
        <f t="shared" si="21"/>
        <v>2830</v>
      </c>
      <c r="U308" s="850">
        <v>0</v>
      </c>
      <c r="V308" s="201">
        <v>0</v>
      </c>
      <c r="W308" s="201">
        <v>17170</v>
      </c>
      <c r="X308" s="17">
        <v>0</v>
      </c>
      <c r="Y308" s="42">
        <f>16370+800</f>
        <v>17170</v>
      </c>
      <c r="Z308" s="42">
        <v>30410.85</v>
      </c>
      <c r="AA308" s="33">
        <v>0</v>
      </c>
      <c r="AB308" s="201">
        <v>0</v>
      </c>
      <c r="AC308" s="29">
        <v>0</v>
      </c>
      <c r="AD308" s="2073">
        <v>0</v>
      </c>
      <c r="AE308" s="52" t="s">
        <v>484</v>
      </c>
      <c r="AF308" s="52" t="s">
        <v>43</v>
      </c>
      <c r="AG308" s="193" t="s">
        <v>208</v>
      </c>
      <c r="AH308" s="1215" t="s">
        <v>514</v>
      </c>
      <c r="AI308" s="334" t="s">
        <v>514</v>
      </c>
    </row>
    <row r="309" spans="1:35" ht="30" x14ac:dyDescent="0.25">
      <c r="A309" s="70" t="s">
        <v>252</v>
      </c>
      <c r="B309" s="85" t="s">
        <v>530</v>
      </c>
      <c r="C309" s="5">
        <v>2019</v>
      </c>
      <c r="D309" s="5" t="s">
        <v>498</v>
      </c>
      <c r="E309" s="63" t="s">
        <v>218</v>
      </c>
      <c r="F309" s="64" t="s">
        <v>218</v>
      </c>
      <c r="G309" s="146" t="s">
        <v>253</v>
      </c>
      <c r="H309" s="16">
        <v>8500</v>
      </c>
      <c r="I309" s="16">
        <v>195.82900000000001</v>
      </c>
      <c r="J309" s="1">
        <v>152.005</v>
      </c>
      <c r="K309" s="412">
        <v>0</v>
      </c>
      <c r="L309" s="839">
        <v>0</v>
      </c>
      <c r="M309" s="839">
        <v>0</v>
      </c>
      <c r="N309" s="850">
        <f>234.23-30.059-52.166</f>
        <v>152.005</v>
      </c>
      <c r="O309" s="29">
        <v>0</v>
      </c>
      <c r="P309" s="201">
        <v>0</v>
      </c>
      <c r="Q309" s="29">
        <v>0</v>
      </c>
      <c r="R309" s="1268">
        <v>152.00499999999965</v>
      </c>
      <c r="S309" s="1269">
        <v>0</v>
      </c>
      <c r="T309" s="1268">
        <f t="shared" si="21"/>
        <v>152.00499999999965</v>
      </c>
      <c r="U309" s="850">
        <v>0</v>
      </c>
      <c r="V309" s="201">
        <v>0</v>
      </c>
      <c r="W309" s="201">
        <v>8152.1660000000002</v>
      </c>
      <c r="X309" s="17">
        <v>0</v>
      </c>
      <c r="Y309" s="42">
        <v>8152.1660000000002</v>
      </c>
      <c r="Z309" s="42">
        <v>0</v>
      </c>
      <c r="AA309" s="33">
        <v>0</v>
      </c>
      <c r="AB309" s="201">
        <v>0</v>
      </c>
      <c r="AC309" s="29">
        <v>0</v>
      </c>
      <c r="AD309" s="2073">
        <v>0</v>
      </c>
      <c r="AE309" s="52" t="s">
        <v>484</v>
      </c>
      <c r="AF309" s="836" t="s">
        <v>19</v>
      </c>
      <c r="AG309" s="193" t="s">
        <v>208</v>
      </c>
      <c r="AH309" s="1215" t="s">
        <v>513</v>
      </c>
      <c r="AI309" s="334" t="s">
        <v>513</v>
      </c>
    </row>
    <row r="310" spans="1:35" ht="45.75" thickBot="1" x14ac:dyDescent="0.3">
      <c r="A310" s="987" t="s">
        <v>254</v>
      </c>
      <c r="B310" s="988" t="s">
        <v>532</v>
      </c>
      <c r="C310" s="298">
        <v>2019</v>
      </c>
      <c r="D310" s="298" t="s">
        <v>498</v>
      </c>
      <c r="E310" s="407" t="s">
        <v>255</v>
      </c>
      <c r="F310" s="287" t="s">
        <v>255</v>
      </c>
      <c r="G310" s="1752" t="s">
        <v>256</v>
      </c>
      <c r="H310" s="300">
        <v>11482.15372</v>
      </c>
      <c r="I310" s="300">
        <v>0</v>
      </c>
      <c r="J310" s="807">
        <v>0</v>
      </c>
      <c r="K310" s="1983">
        <v>0</v>
      </c>
      <c r="L310" s="1412">
        <v>0</v>
      </c>
      <c r="M310" s="1545">
        <v>0</v>
      </c>
      <c r="N310" s="1392">
        <v>0</v>
      </c>
      <c r="O310" s="1414">
        <v>0</v>
      </c>
      <c r="P310" s="1065">
        <v>0</v>
      </c>
      <c r="Q310" s="1414">
        <v>0</v>
      </c>
      <c r="R310" s="1415">
        <v>0</v>
      </c>
      <c r="S310" s="1416">
        <v>0</v>
      </c>
      <c r="T310" s="1415">
        <f t="shared" si="21"/>
        <v>0</v>
      </c>
      <c r="U310" s="1115">
        <v>0</v>
      </c>
      <c r="V310" s="1064">
        <v>4500</v>
      </c>
      <c r="W310" s="1064">
        <v>4500</v>
      </c>
      <c r="X310" s="1549">
        <v>2482.1537200000002</v>
      </c>
      <c r="Y310" s="1673">
        <v>11482.15372</v>
      </c>
      <c r="Z310" s="1673">
        <v>0</v>
      </c>
      <c r="AA310" s="1120">
        <v>0</v>
      </c>
      <c r="AB310" s="1065">
        <v>0</v>
      </c>
      <c r="AC310" s="528">
        <v>0</v>
      </c>
      <c r="AD310" s="1674">
        <v>0</v>
      </c>
      <c r="AE310" s="280" t="s">
        <v>1417</v>
      </c>
      <c r="AF310" s="52" t="s">
        <v>13</v>
      </c>
      <c r="AG310" s="193" t="s">
        <v>208</v>
      </c>
      <c r="AH310" s="1215" t="s">
        <v>513</v>
      </c>
      <c r="AI310" s="334" t="s">
        <v>513</v>
      </c>
    </row>
    <row r="311" spans="1:35" ht="30.75" thickBot="1" x14ac:dyDescent="0.3">
      <c r="A311" s="723" t="s">
        <v>533</v>
      </c>
      <c r="B311" s="773" t="s">
        <v>605</v>
      </c>
      <c r="C311" s="55">
        <v>2019</v>
      </c>
      <c r="D311" s="55" t="s">
        <v>568</v>
      </c>
      <c r="E311" s="302" t="s">
        <v>232</v>
      </c>
      <c r="F311" s="774" t="s">
        <v>232</v>
      </c>
      <c r="G311" s="775" t="s">
        <v>534</v>
      </c>
      <c r="H311" s="130">
        <v>870.2</v>
      </c>
      <c r="I311" s="130">
        <v>834.89878999999996</v>
      </c>
      <c r="J311" s="130">
        <v>0</v>
      </c>
      <c r="K311" s="1964">
        <v>0</v>
      </c>
      <c r="L311" s="1253">
        <v>0</v>
      </c>
      <c r="M311" s="1253">
        <v>0</v>
      </c>
      <c r="N311" s="853">
        <v>0</v>
      </c>
      <c r="O311" s="303">
        <v>0</v>
      </c>
      <c r="P311" s="279">
        <v>0</v>
      </c>
      <c r="Q311" s="303">
        <v>35.301209999999998</v>
      </c>
      <c r="R311" s="1264">
        <v>35.301209999999998</v>
      </c>
      <c r="S311" s="1265">
        <v>0</v>
      </c>
      <c r="T311" s="1264">
        <f t="shared" si="21"/>
        <v>35.301209999999998</v>
      </c>
      <c r="U311" s="853">
        <v>0</v>
      </c>
      <c r="V311" s="279">
        <v>0</v>
      </c>
      <c r="W311" s="279">
        <v>0</v>
      </c>
      <c r="X311" s="765">
        <v>0</v>
      </c>
      <c r="Y311" s="776">
        <v>0</v>
      </c>
      <c r="Z311" s="776">
        <v>0</v>
      </c>
      <c r="AA311" s="764">
        <v>0</v>
      </c>
      <c r="AB311" s="279">
        <v>0</v>
      </c>
      <c r="AC311" s="303">
        <v>0</v>
      </c>
      <c r="AD311" s="2088">
        <v>0</v>
      </c>
      <c r="AE311" s="304" t="s">
        <v>484</v>
      </c>
      <c r="AF311" s="304" t="s">
        <v>43</v>
      </c>
      <c r="AG311" s="777" t="s">
        <v>208</v>
      </c>
      <c r="AH311" s="1216" t="s">
        <v>514</v>
      </c>
      <c r="AI311" s="778" t="s">
        <v>514</v>
      </c>
    </row>
    <row r="312" spans="1:35" ht="30.75" thickBot="1" x14ac:dyDescent="0.3">
      <c r="A312" s="156" t="s">
        <v>606</v>
      </c>
      <c r="B312" s="187" t="s">
        <v>841</v>
      </c>
      <c r="C312" s="54">
        <v>2019</v>
      </c>
      <c r="D312" s="54" t="s">
        <v>722</v>
      </c>
      <c r="E312" s="89" t="s">
        <v>202</v>
      </c>
      <c r="F312" s="779" t="s">
        <v>202</v>
      </c>
      <c r="G312" s="780" t="s">
        <v>607</v>
      </c>
      <c r="H312" s="158">
        <v>1936</v>
      </c>
      <c r="I312" s="130">
        <v>67.92</v>
      </c>
      <c r="J312" s="130">
        <v>0</v>
      </c>
      <c r="K312" s="1253">
        <v>374.75900000000001</v>
      </c>
      <c r="L312" s="1253">
        <v>0</v>
      </c>
      <c r="M312" s="1400">
        <v>0</v>
      </c>
      <c r="N312" s="853">
        <v>0</v>
      </c>
      <c r="O312" s="279">
        <v>0</v>
      </c>
      <c r="P312" s="279">
        <v>374.75900000000001</v>
      </c>
      <c r="Q312" s="303">
        <v>1493.3209999999999</v>
      </c>
      <c r="R312" s="1264">
        <v>1868.08</v>
      </c>
      <c r="S312" s="1265">
        <v>0</v>
      </c>
      <c r="T312" s="1264">
        <f t="shared" si="21"/>
        <v>1868.08</v>
      </c>
      <c r="U312" s="719">
        <v>0</v>
      </c>
      <c r="V312" s="316">
        <v>0</v>
      </c>
      <c r="W312" s="316">
        <v>0</v>
      </c>
      <c r="X312" s="9">
        <v>0</v>
      </c>
      <c r="Y312" s="188">
        <v>0</v>
      </c>
      <c r="Z312" s="188">
        <v>0</v>
      </c>
      <c r="AA312" s="159">
        <v>0</v>
      </c>
      <c r="AB312" s="279">
        <v>0</v>
      </c>
      <c r="AC312" s="185">
        <v>0</v>
      </c>
      <c r="AD312" s="2080">
        <v>0</v>
      </c>
      <c r="AE312" s="304" t="s">
        <v>484</v>
      </c>
      <c r="AF312" s="168" t="s">
        <v>43</v>
      </c>
      <c r="AG312" s="195" t="s">
        <v>208</v>
      </c>
      <c r="AH312" s="711" t="s">
        <v>514</v>
      </c>
      <c r="AI312" s="781" t="s">
        <v>514</v>
      </c>
    </row>
    <row r="313" spans="1:35" ht="25.5" x14ac:dyDescent="0.25">
      <c r="A313" s="59" t="s">
        <v>725</v>
      </c>
      <c r="B313" s="115" t="s">
        <v>842</v>
      </c>
      <c r="C313" s="4">
        <v>2019</v>
      </c>
      <c r="D313" s="4" t="s">
        <v>989</v>
      </c>
      <c r="E313" s="60" t="s">
        <v>11</v>
      </c>
      <c r="F313" s="88" t="s">
        <v>11</v>
      </c>
      <c r="G313" s="444" t="s">
        <v>726</v>
      </c>
      <c r="H313" s="1">
        <v>700</v>
      </c>
      <c r="I313" s="1">
        <v>0</v>
      </c>
      <c r="J313" s="1">
        <v>0</v>
      </c>
      <c r="K313" s="412">
        <v>0</v>
      </c>
      <c r="L313" s="412">
        <v>0</v>
      </c>
      <c r="M313" s="1276">
        <v>0</v>
      </c>
      <c r="N313" s="849">
        <v>0</v>
      </c>
      <c r="O313" s="27">
        <v>0</v>
      </c>
      <c r="P313" s="347">
        <v>0</v>
      </c>
      <c r="Q313" s="27">
        <v>0</v>
      </c>
      <c r="R313" s="1263">
        <v>0</v>
      </c>
      <c r="S313" s="1262">
        <v>0</v>
      </c>
      <c r="T313" s="1263">
        <f t="shared" si="21"/>
        <v>0</v>
      </c>
      <c r="U313" s="849">
        <v>0</v>
      </c>
      <c r="V313" s="347">
        <v>700</v>
      </c>
      <c r="W313" s="347">
        <v>0</v>
      </c>
      <c r="X313" s="2">
        <v>0</v>
      </c>
      <c r="Y313" s="43">
        <v>700</v>
      </c>
      <c r="Z313" s="43">
        <v>0</v>
      </c>
      <c r="AA313" s="41">
        <v>0</v>
      </c>
      <c r="AB313" s="347">
        <v>0</v>
      </c>
      <c r="AC313" s="27">
        <v>0</v>
      </c>
      <c r="AD313" s="1231">
        <v>0</v>
      </c>
      <c r="AE313" s="123" t="s">
        <v>484</v>
      </c>
      <c r="AF313" s="119" t="s">
        <v>19</v>
      </c>
      <c r="AG313" s="196" t="s">
        <v>1006</v>
      </c>
      <c r="AH313" s="1217" t="s">
        <v>513</v>
      </c>
      <c r="AI313" s="402" t="s">
        <v>513</v>
      </c>
    </row>
    <row r="314" spans="1:35" ht="30" x14ac:dyDescent="0.25">
      <c r="A314" s="59" t="s">
        <v>727</v>
      </c>
      <c r="B314" s="115" t="s">
        <v>843</v>
      </c>
      <c r="C314" s="4">
        <v>2019</v>
      </c>
      <c r="D314" s="4" t="s">
        <v>989</v>
      </c>
      <c r="E314" s="60" t="s">
        <v>728</v>
      </c>
      <c r="F314" s="88" t="s">
        <v>728</v>
      </c>
      <c r="G314" s="444" t="s">
        <v>729</v>
      </c>
      <c r="H314" s="1">
        <v>266</v>
      </c>
      <c r="I314" s="1">
        <v>98.977999999999994</v>
      </c>
      <c r="J314" s="1">
        <v>0</v>
      </c>
      <c r="K314" s="412">
        <v>0</v>
      </c>
      <c r="L314" s="412">
        <v>0</v>
      </c>
      <c r="M314" s="782">
        <v>0</v>
      </c>
      <c r="N314" s="849">
        <f>167.022-167.022</f>
        <v>0</v>
      </c>
      <c r="O314" s="27">
        <v>0</v>
      </c>
      <c r="P314" s="347">
        <v>0</v>
      </c>
      <c r="Q314" s="27">
        <v>0</v>
      </c>
      <c r="R314" s="1268">
        <v>0</v>
      </c>
      <c r="S314" s="1269">
        <v>0</v>
      </c>
      <c r="T314" s="1268">
        <f t="shared" si="21"/>
        <v>0</v>
      </c>
      <c r="U314" s="849">
        <v>167.02199999999999</v>
      </c>
      <c r="V314" s="347">
        <v>0</v>
      </c>
      <c r="W314" s="347">
        <v>0</v>
      </c>
      <c r="X314" s="2">
        <v>0</v>
      </c>
      <c r="Y314" s="43">
        <v>167.02199999999999</v>
      </c>
      <c r="Z314" s="43">
        <v>0</v>
      </c>
      <c r="AA314" s="41">
        <v>0</v>
      </c>
      <c r="AB314" s="201">
        <v>0</v>
      </c>
      <c r="AC314" s="27">
        <v>0</v>
      </c>
      <c r="AD314" s="1231">
        <v>0</v>
      </c>
      <c r="AE314" s="119" t="s">
        <v>484</v>
      </c>
      <c r="AF314" s="119" t="s">
        <v>13</v>
      </c>
      <c r="AG314" s="192" t="s">
        <v>208</v>
      </c>
      <c r="AH314" s="823" t="s">
        <v>513</v>
      </c>
      <c r="AI314" s="402" t="s">
        <v>513</v>
      </c>
    </row>
    <row r="315" spans="1:35" ht="25.5" x14ac:dyDescent="0.25">
      <c r="A315" s="993" t="s">
        <v>730</v>
      </c>
      <c r="B315" s="945" t="s">
        <v>844</v>
      </c>
      <c r="C315" s="454">
        <v>2019</v>
      </c>
      <c r="D315" s="453" t="s">
        <v>989</v>
      </c>
      <c r="E315" s="576" t="s">
        <v>225</v>
      </c>
      <c r="F315" s="994" t="s">
        <v>225</v>
      </c>
      <c r="G315" s="1088" t="s">
        <v>731</v>
      </c>
      <c r="H315" s="551">
        <v>4800</v>
      </c>
      <c r="I315" s="551">
        <v>0</v>
      </c>
      <c r="J315" s="543">
        <v>0</v>
      </c>
      <c r="K315" s="1901">
        <v>0</v>
      </c>
      <c r="L315" s="1901">
        <v>0</v>
      </c>
      <c r="M315" s="1553">
        <v>0</v>
      </c>
      <c r="N315" s="919">
        <f>400-400</f>
        <v>0</v>
      </c>
      <c r="O315" s="547">
        <v>0</v>
      </c>
      <c r="P315" s="920">
        <v>0</v>
      </c>
      <c r="Q315" s="547">
        <v>450</v>
      </c>
      <c r="R315" s="1449">
        <v>400</v>
      </c>
      <c r="S315" s="1450">
        <v>50</v>
      </c>
      <c r="T315" s="1449">
        <f t="shared" si="21"/>
        <v>450</v>
      </c>
      <c r="U315" s="919">
        <v>400</v>
      </c>
      <c r="V315" s="920">
        <v>1950</v>
      </c>
      <c r="W315" s="920">
        <v>2000</v>
      </c>
      <c r="X315" s="921">
        <v>0</v>
      </c>
      <c r="Y315" s="1093">
        <v>4350</v>
      </c>
      <c r="Z315" s="1093">
        <v>0</v>
      </c>
      <c r="AA315" s="556">
        <v>0</v>
      </c>
      <c r="AB315" s="920">
        <v>0</v>
      </c>
      <c r="AC315" s="547">
        <v>0</v>
      </c>
      <c r="AD315" s="1449">
        <v>0</v>
      </c>
      <c r="AE315" s="359" t="s">
        <v>1418</v>
      </c>
      <c r="AF315" s="359" t="s">
        <v>19</v>
      </c>
      <c r="AG315" s="996" t="s">
        <v>208</v>
      </c>
      <c r="AH315" s="1218" t="s">
        <v>513</v>
      </c>
      <c r="AI315" s="1105" t="s">
        <v>513</v>
      </c>
    </row>
    <row r="316" spans="1:35" s="388" customFormat="1" ht="26.25" thickBot="1" x14ac:dyDescent="0.3">
      <c r="A316" s="700" t="s">
        <v>749</v>
      </c>
      <c r="B316" s="804" t="s">
        <v>845</v>
      </c>
      <c r="C316" s="380">
        <v>2019</v>
      </c>
      <c r="D316" s="670" t="s">
        <v>989</v>
      </c>
      <c r="E316" s="816" t="s">
        <v>224</v>
      </c>
      <c r="F316" s="817" t="s">
        <v>224</v>
      </c>
      <c r="G316" s="818" t="s">
        <v>750</v>
      </c>
      <c r="H316" s="381">
        <v>895.4</v>
      </c>
      <c r="I316" s="381">
        <v>0</v>
      </c>
      <c r="J316" s="760">
        <v>0</v>
      </c>
      <c r="K316" s="1284">
        <v>895.4</v>
      </c>
      <c r="L316" s="2000">
        <v>0</v>
      </c>
      <c r="M316" s="1591">
        <v>0</v>
      </c>
      <c r="N316" s="793">
        <v>0</v>
      </c>
      <c r="O316" s="819">
        <v>0</v>
      </c>
      <c r="P316" s="820">
        <v>895.4</v>
      </c>
      <c r="Q316" s="819">
        <v>0</v>
      </c>
      <c r="R316" s="1592">
        <v>900</v>
      </c>
      <c r="S316" s="1593">
        <v>-4.5999999999999996</v>
      </c>
      <c r="T316" s="1592">
        <f t="shared" si="21"/>
        <v>895.4</v>
      </c>
      <c r="U316" s="793">
        <v>0</v>
      </c>
      <c r="V316" s="820">
        <v>0</v>
      </c>
      <c r="W316" s="820">
        <v>0</v>
      </c>
      <c r="X316" s="1754">
        <v>0</v>
      </c>
      <c r="Y316" s="821">
        <v>0</v>
      </c>
      <c r="Z316" s="821">
        <v>0</v>
      </c>
      <c r="AA316" s="1769">
        <v>0</v>
      </c>
      <c r="AB316" s="820">
        <v>0</v>
      </c>
      <c r="AC316" s="819">
        <v>0</v>
      </c>
      <c r="AD316" s="2090">
        <v>0</v>
      </c>
      <c r="AE316" s="326" t="s">
        <v>1419</v>
      </c>
      <c r="AF316" s="386" t="s">
        <v>535</v>
      </c>
      <c r="AG316" s="704" t="s">
        <v>472</v>
      </c>
      <c r="AH316" s="1755" t="s">
        <v>514</v>
      </c>
      <c r="AI316" s="822" t="s">
        <v>514</v>
      </c>
    </row>
    <row r="317" spans="1:35" ht="25.5" x14ac:dyDescent="0.25">
      <c r="A317" s="59" t="s">
        <v>846</v>
      </c>
      <c r="B317" s="115" t="s">
        <v>963</v>
      </c>
      <c r="C317" s="4">
        <v>2019</v>
      </c>
      <c r="D317" s="4" t="s">
        <v>969</v>
      </c>
      <c r="E317" s="60" t="s">
        <v>225</v>
      </c>
      <c r="F317" s="88" t="s">
        <v>225</v>
      </c>
      <c r="G317" s="444" t="s">
        <v>243</v>
      </c>
      <c r="H317" s="1">
        <v>2500</v>
      </c>
      <c r="I317" s="1">
        <v>0</v>
      </c>
      <c r="J317" s="1">
        <v>0</v>
      </c>
      <c r="K317" s="412">
        <v>0</v>
      </c>
      <c r="L317" s="839">
        <v>0</v>
      </c>
      <c r="M317" s="1276">
        <v>0</v>
      </c>
      <c r="N317" s="849">
        <v>0</v>
      </c>
      <c r="O317" s="27">
        <v>0</v>
      </c>
      <c r="P317" s="347">
        <v>0</v>
      </c>
      <c r="Q317" s="27">
        <v>2500</v>
      </c>
      <c r="R317" s="1263">
        <v>2500</v>
      </c>
      <c r="S317" s="1262">
        <v>0</v>
      </c>
      <c r="T317" s="1263">
        <f t="shared" si="21"/>
        <v>2500</v>
      </c>
      <c r="U317" s="849">
        <v>0</v>
      </c>
      <c r="V317" s="347">
        <v>0</v>
      </c>
      <c r="W317" s="347">
        <v>0</v>
      </c>
      <c r="X317" s="2">
        <v>0</v>
      </c>
      <c r="Y317" s="43">
        <v>0</v>
      </c>
      <c r="Z317" s="43">
        <v>0</v>
      </c>
      <c r="AA317" s="41">
        <v>0</v>
      </c>
      <c r="AB317" s="347">
        <v>0</v>
      </c>
      <c r="AC317" s="27">
        <v>0</v>
      </c>
      <c r="AD317" s="1231">
        <v>0</v>
      </c>
      <c r="AE317" s="119" t="s">
        <v>484</v>
      </c>
      <c r="AF317" s="119" t="s">
        <v>43</v>
      </c>
      <c r="AG317" s="192" t="s">
        <v>208</v>
      </c>
      <c r="AH317" s="823" t="s">
        <v>514</v>
      </c>
      <c r="AI317" s="402" t="s">
        <v>514</v>
      </c>
    </row>
    <row r="318" spans="1:35" ht="26.25" thickBot="1" x14ac:dyDescent="0.3">
      <c r="A318" s="1756" t="s">
        <v>847</v>
      </c>
      <c r="B318" s="1757" t="s">
        <v>964</v>
      </c>
      <c r="C318" s="1758">
        <v>2019</v>
      </c>
      <c r="D318" s="1759" t="s">
        <v>969</v>
      </c>
      <c r="E318" s="1760" t="s">
        <v>232</v>
      </c>
      <c r="F318" s="1761" t="s">
        <v>232</v>
      </c>
      <c r="G318" s="1762" t="s">
        <v>848</v>
      </c>
      <c r="H318" s="1763">
        <v>3000</v>
      </c>
      <c r="I318" s="1763">
        <v>0</v>
      </c>
      <c r="J318" s="158">
        <v>0</v>
      </c>
      <c r="K318" s="835">
        <v>0</v>
      </c>
      <c r="L318" s="1250">
        <v>0</v>
      </c>
      <c r="M318" s="1248">
        <v>12.1</v>
      </c>
      <c r="N318" s="1764">
        <v>0</v>
      </c>
      <c r="O318" s="1765">
        <v>0</v>
      </c>
      <c r="P318" s="203">
        <f>12.1-12.1</f>
        <v>0</v>
      </c>
      <c r="Q318" s="98">
        <f>2987.9+12.1</f>
        <v>3000</v>
      </c>
      <c r="R318" s="1270">
        <v>3000</v>
      </c>
      <c r="S318" s="1271">
        <v>0</v>
      </c>
      <c r="T318" s="1270">
        <f t="shared" si="21"/>
        <v>3000</v>
      </c>
      <c r="U318" s="1764">
        <v>0</v>
      </c>
      <c r="V318" s="1766">
        <v>0</v>
      </c>
      <c r="W318" s="1766">
        <v>0</v>
      </c>
      <c r="X318" s="1767">
        <v>0</v>
      </c>
      <c r="Y318" s="1768">
        <v>0</v>
      </c>
      <c r="Z318" s="1768">
        <v>0</v>
      </c>
      <c r="AA318" s="1770">
        <v>0</v>
      </c>
      <c r="AB318" s="1766">
        <v>0</v>
      </c>
      <c r="AC318" s="1765">
        <v>0</v>
      </c>
      <c r="AD318" s="2091">
        <v>0</v>
      </c>
      <c r="AE318" s="1883" t="s">
        <v>484</v>
      </c>
      <c r="AF318" s="122" t="s">
        <v>43</v>
      </c>
      <c r="AG318" s="195" t="s">
        <v>208</v>
      </c>
      <c r="AH318" s="711" t="s">
        <v>514</v>
      </c>
      <c r="AI318" s="781" t="s">
        <v>514</v>
      </c>
    </row>
    <row r="319" spans="1:35" ht="30" x14ac:dyDescent="0.25">
      <c r="A319" s="59" t="s">
        <v>1032</v>
      </c>
      <c r="B319" s="115" t="s">
        <v>1166</v>
      </c>
      <c r="C319" s="4">
        <v>2020</v>
      </c>
      <c r="D319" s="4" t="s">
        <v>1213</v>
      </c>
      <c r="E319" s="60" t="s">
        <v>206</v>
      </c>
      <c r="F319" s="88" t="s">
        <v>206</v>
      </c>
      <c r="G319" s="444" t="s">
        <v>1033</v>
      </c>
      <c r="H319" s="1">
        <v>2000</v>
      </c>
      <c r="I319" s="1">
        <v>0</v>
      </c>
      <c r="J319" s="1">
        <v>0</v>
      </c>
      <c r="K319" s="412">
        <v>0</v>
      </c>
      <c r="L319" s="412">
        <v>0</v>
      </c>
      <c r="M319" s="1276">
        <v>0</v>
      </c>
      <c r="N319" s="849">
        <v>0</v>
      </c>
      <c r="O319" s="27">
        <v>0</v>
      </c>
      <c r="P319" s="347">
        <v>0</v>
      </c>
      <c r="Q319" s="347">
        <v>30</v>
      </c>
      <c r="R319" s="1263">
        <v>30</v>
      </c>
      <c r="S319" s="1262">
        <v>0</v>
      </c>
      <c r="T319" s="1263">
        <f t="shared" si="21"/>
        <v>30</v>
      </c>
      <c r="U319" s="849">
        <v>0</v>
      </c>
      <c r="V319" s="347">
        <v>0</v>
      </c>
      <c r="W319" s="347">
        <v>1970</v>
      </c>
      <c r="X319" s="2">
        <v>0</v>
      </c>
      <c r="Y319" s="43">
        <v>1970</v>
      </c>
      <c r="Z319" s="43">
        <v>0</v>
      </c>
      <c r="AA319" s="41">
        <v>0</v>
      </c>
      <c r="AB319" s="347">
        <v>0</v>
      </c>
      <c r="AC319" s="27">
        <v>0</v>
      </c>
      <c r="AD319" s="1231">
        <v>0</v>
      </c>
      <c r="AE319" s="119" t="s">
        <v>1240</v>
      </c>
      <c r="AF319" s="119" t="s">
        <v>19</v>
      </c>
      <c r="AG319" s="192" t="s">
        <v>609</v>
      </c>
      <c r="AH319" s="823" t="s">
        <v>513</v>
      </c>
      <c r="AI319" s="402" t="s">
        <v>513</v>
      </c>
    </row>
    <row r="320" spans="1:35" ht="30" x14ac:dyDescent="0.25">
      <c r="A320" s="62" t="s">
        <v>1034</v>
      </c>
      <c r="B320" s="85" t="s">
        <v>494</v>
      </c>
      <c r="C320" s="5">
        <v>2020</v>
      </c>
      <c r="D320" s="4" t="s">
        <v>1213</v>
      </c>
      <c r="E320" s="63" t="s">
        <v>194</v>
      </c>
      <c r="F320" s="64" t="s">
        <v>194</v>
      </c>
      <c r="G320" s="146" t="s">
        <v>1035</v>
      </c>
      <c r="H320" s="16">
        <v>1000</v>
      </c>
      <c r="I320" s="16">
        <v>0</v>
      </c>
      <c r="J320" s="1">
        <v>0</v>
      </c>
      <c r="K320" s="412">
        <v>0</v>
      </c>
      <c r="L320" s="412">
        <v>0</v>
      </c>
      <c r="M320" s="782">
        <v>0</v>
      </c>
      <c r="N320" s="850">
        <v>0</v>
      </c>
      <c r="O320" s="29">
        <v>0</v>
      </c>
      <c r="P320" s="201">
        <v>0</v>
      </c>
      <c r="Q320" s="29">
        <v>0</v>
      </c>
      <c r="R320" s="1268">
        <v>0</v>
      </c>
      <c r="S320" s="1269">
        <v>0</v>
      </c>
      <c r="T320" s="1268">
        <f t="shared" si="21"/>
        <v>0</v>
      </c>
      <c r="U320" s="850">
        <v>0</v>
      </c>
      <c r="V320" s="201">
        <v>0</v>
      </c>
      <c r="W320" s="201">
        <v>0</v>
      </c>
      <c r="X320" s="17">
        <v>1000</v>
      </c>
      <c r="Y320" s="42">
        <v>1000</v>
      </c>
      <c r="Z320" s="42">
        <v>0</v>
      </c>
      <c r="AA320" s="33">
        <v>0</v>
      </c>
      <c r="AB320" s="201">
        <v>0</v>
      </c>
      <c r="AC320" s="29">
        <v>0</v>
      </c>
      <c r="AD320" s="1231">
        <v>0</v>
      </c>
      <c r="AE320" s="119" t="s">
        <v>484</v>
      </c>
      <c r="AF320" s="52" t="s">
        <v>19</v>
      </c>
      <c r="AG320" s="192" t="s">
        <v>899</v>
      </c>
      <c r="AH320" s="823" t="s">
        <v>513</v>
      </c>
      <c r="AI320" s="402" t="s">
        <v>513</v>
      </c>
    </row>
    <row r="321" spans="1:35" ht="25.5" x14ac:dyDescent="0.25">
      <c r="A321" s="62" t="s">
        <v>1036</v>
      </c>
      <c r="B321" s="85" t="s">
        <v>494</v>
      </c>
      <c r="C321" s="5">
        <v>2020</v>
      </c>
      <c r="D321" s="4" t="s">
        <v>1213</v>
      </c>
      <c r="E321" s="63" t="s">
        <v>202</v>
      </c>
      <c r="F321" s="64" t="s">
        <v>202</v>
      </c>
      <c r="G321" s="146" t="s">
        <v>1038</v>
      </c>
      <c r="H321" s="16">
        <v>600</v>
      </c>
      <c r="I321" s="16">
        <v>0</v>
      </c>
      <c r="J321" s="1">
        <v>0</v>
      </c>
      <c r="K321" s="412">
        <v>0</v>
      </c>
      <c r="L321" s="412">
        <v>0</v>
      </c>
      <c r="M321" s="782">
        <v>0</v>
      </c>
      <c r="N321" s="850">
        <v>0</v>
      </c>
      <c r="O321" s="29">
        <v>0</v>
      </c>
      <c r="P321" s="201">
        <v>0</v>
      </c>
      <c r="Q321" s="29">
        <v>0</v>
      </c>
      <c r="R321" s="1268">
        <v>0</v>
      </c>
      <c r="S321" s="1269">
        <v>0</v>
      </c>
      <c r="T321" s="1268">
        <f t="shared" si="21"/>
        <v>0</v>
      </c>
      <c r="U321" s="850">
        <v>0</v>
      </c>
      <c r="V321" s="201">
        <v>0</v>
      </c>
      <c r="W321" s="201">
        <v>600</v>
      </c>
      <c r="X321" s="17">
        <v>0</v>
      </c>
      <c r="Y321" s="42">
        <v>600</v>
      </c>
      <c r="Z321" s="42">
        <v>0</v>
      </c>
      <c r="AA321" s="33">
        <v>0</v>
      </c>
      <c r="AB321" s="201">
        <v>0</v>
      </c>
      <c r="AC321" s="29">
        <v>0</v>
      </c>
      <c r="AD321" s="1231">
        <v>0</v>
      </c>
      <c r="AE321" s="119" t="s">
        <v>484</v>
      </c>
      <c r="AF321" s="52" t="s">
        <v>19</v>
      </c>
      <c r="AG321" s="192" t="s">
        <v>899</v>
      </c>
      <c r="AH321" s="823" t="s">
        <v>513</v>
      </c>
      <c r="AI321" s="402" t="s">
        <v>513</v>
      </c>
    </row>
    <row r="322" spans="1:35" ht="25.5" x14ac:dyDescent="0.25">
      <c r="A322" s="62" t="s">
        <v>1037</v>
      </c>
      <c r="B322" s="85" t="s">
        <v>494</v>
      </c>
      <c r="C322" s="5">
        <v>2020</v>
      </c>
      <c r="D322" s="4" t="s">
        <v>1213</v>
      </c>
      <c r="E322" s="63" t="s">
        <v>211</v>
      </c>
      <c r="F322" s="64" t="s">
        <v>520</v>
      </c>
      <c r="G322" s="146" t="s">
        <v>1040</v>
      </c>
      <c r="H322" s="16">
        <v>300</v>
      </c>
      <c r="I322" s="16">
        <v>0</v>
      </c>
      <c r="J322" s="1">
        <v>0</v>
      </c>
      <c r="K322" s="412">
        <v>0</v>
      </c>
      <c r="L322" s="412">
        <v>0</v>
      </c>
      <c r="M322" s="782">
        <v>0</v>
      </c>
      <c r="N322" s="850">
        <v>0</v>
      </c>
      <c r="O322" s="29">
        <v>0</v>
      </c>
      <c r="P322" s="201">
        <v>0</v>
      </c>
      <c r="Q322" s="29">
        <v>0</v>
      </c>
      <c r="R322" s="1268">
        <v>0</v>
      </c>
      <c r="S322" s="1269">
        <v>0</v>
      </c>
      <c r="T322" s="1268">
        <f t="shared" si="21"/>
        <v>0</v>
      </c>
      <c r="U322" s="850">
        <v>300</v>
      </c>
      <c r="V322" s="201">
        <v>0</v>
      </c>
      <c r="W322" s="201">
        <v>0</v>
      </c>
      <c r="X322" s="17">
        <v>0</v>
      </c>
      <c r="Y322" s="42">
        <v>300</v>
      </c>
      <c r="Z322" s="42">
        <v>0</v>
      </c>
      <c r="AA322" s="33">
        <v>0</v>
      </c>
      <c r="AB322" s="201">
        <v>0</v>
      </c>
      <c r="AC322" s="29">
        <v>0</v>
      </c>
      <c r="AD322" s="1231">
        <v>0</v>
      </c>
      <c r="AE322" s="119" t="s">
        <v>484</v>
      </c>
      <c r="AF322" s="52" t="s">
        <v>13</v>
      </c>
      <c r="AG322" s="192" t="s">
        <v>208</v>
      </c>
      <c r="AH322" s="823" t="s">
        <v>513</v>
      </c>
      <c r="AI322" s="402" t="s">
        <v>513</v>
      </c>
    </row>
    <row r="323" spans="1:35" ht="25.5" x14ac:dyDescent="0.25">
      <c r="A323" s="62" t="s">
        <v>1039</v>
      </c>
      <c r="B323" s="85" t="s">
        <v>494</v>
      </c>
      <c r="C323" s="5">
        <v>2020</v>
      </c>
      <c r="D323" s="4" t="s">
        <v>1213</v>
      </c>
      <c r="E323" s="63" t="s">
        <v>202</v>
      </c>
      <c r="F323" s="64" t="s">
        <v>202</v>
      </c>
      <c r="G323" s="146" t="s">
        <v>1041</v>
      </c>
      <c r="H323" s="16">
        <v>600</v>
      </c>
      <c r="I323" s="16">
        <v>0</v>
      </c>
      <c r="J323" s="1">
        <v>0</v>
      </c>
      <c r="K323" s="412">
        <v>0</v>
      </c>
      <c r="L323" s="412">
        <v>0</v>
      </c>
      <c r="M323" s="782">
        <v>0</v>
      </c>
      <c r="N323" s="850">
        <v>0</v>
      </c>
      <c r="O323" s="29">
        <v>0</v>
      </c>
      <c r="P323" s="201">
        <v>0</v>
      </c>
      <c r="Q323" s="29">
        <v>0</v>
      </c>
      <c r="R323" s="1268">
        <v>0</v>
      </c>
      <c r="S323" s="1269">
        <v>0</v>
      </c>
      <c r="T323" s="1268">
        <f t="shared" si="21"/>
        <v>0</v>
      </c>
      <c r="U323" s="850">
        <v>600</v>
      </c>
      <c r="V323" s="201">
        <v>0</v>
      </c>
      <c r="W323" s="201">
        <v>0</v>
      </c>
      <c r="X323" s="17">
        <v>0</v>
      </c>
      <c r="Y323" s="42">
        <v>600</v>
      </c>
      <c r="Z323" s="42">
        <v>0</v>
      </c>
      <c r="AA323" s="33">
        <v>0</v>
      </c>
      <c r="AB323" s="201">
        <v>0</v>
      </c>
      <c r="AC323" s="29">
        <v>0</v>
      </c>
      <c r="AD323" s="1231">
        <v>0</v>
      </c>
      <c r="AE323" s="119" t="s">
        <v>484</v>
      </c>
      <c r="AF323" s="52" t="s">
        <v>19</v>
      </c>
      <c r="AG323" s="192" t="s">
        <v>899</v>
      </c>
      <c r="AH323" s="823" t="s">
        <v>513</v>
      </c>
      <c r="AI323" s="402" t="s">
        <v>513</v>
      </c>
    </row>
    <row r="324" spans="1:35" ht="30" x14ac:dyDescent="0.25">
      <c r="A324" s="62" t="s">
        <v>1167</v>
      </c>
      <c r="B324" s="85" t="s">
        <v>494</v>
      </c>
      <c r="C324" s="5">
        <v>2020</v>
      </c>
      <c r="D324" s="1294" t="s">
        <v>1220</v>
      </c>
      <c r="E324" s="63" t="s">
        <v>11</v>
      </c>
      <c r="F324" s="64" t="s">
        <v>11</v>
      </c>
      <c r="G324" s="146" t="s">
        <v>1168</v>
      </c>
      <c r="H324" s="16">
        <v>100</v>
      </c>
      <c r="I324" s="16">
        <v>0</v>
      </c>
      <c r="J324" s="1">
        <v>0</v>
      </c>
      <c r="K324" s="412">
        <v>0</v>
      </c>
      <c r="L324" s="412">
        <v>0</v>
      </c>
      <c r="M324" s="782">
        <v>0</v>
      </c>
      <c r="N324" s="850">
        <v>0</v>
      </c>
      <c r="O324" s="29">
        <v>0</v>
      </c>
      <c r="P324" s="201">
        <v>0</v>
      </c>
      <c r="Q324" s="29">
        <v>0</v>
      </c>
      <c r="R324" s="1268">
        <v>0</v>
      </c>
      <c r="S324" s="1269">
        <v>0</v>
      </c>
      <c r="T324" s="1268">
        <v>0</v>
      </c>
      <c r="U324" s="850">
        <v>0</v>
      </c>
      <c r="V324" s="201">
        <v>0</v>
      </c>
      <c r="W324" s="201">
        <v>0</v>
      </c>
      <c r="X324" s="17">
        <v>0</v>
      </c>
      <c r="Y324" s="42">
        <v>0</v>
      </c>
      <c r="Z324" s="42">
        <v>100</v>
      </c>
      <c r="AA324" s="33">
        <v>0</v>
      </c>
      <c r="AB324" s="201">
        <v>0</v>
      </c>
      <c r="AC324" s="29">
        <v>0</v>
      </c>
      <c r="AD324" s="1231">
        <v>0</v>
      </c>
      <c r="AE324" s="119" t="s">
        <v>484</v>
      </c>
      <c r="AF324" s="52" t="s">
        <v>19</v>
      </c>
      <c r="AG324" s="192" t="s">
        <v>1006</v>
      </c>
      <c r="AH324" s="823" t="s">
        <v>513</v>
      </c>
      <c r="AI324" s="402" t="s">
        <v>513</v>
      </c>
    </row>
    <row r="325" spans="1:35" ht="30" x14ac:dyDescent="0.25">
      <c r="A325" s="62" t="s">
        <v>1169</v>
      </c>
      <c r="B325" s="85" t="s">
        <v>494</v>
      </c>
      <c r="C325" s="5">
        <v>2020</v>
      </c>
      <c r="D325" s="1294" t="s">
        <v>1220</v>
      </c>
      <c r="E325" s="63" t="s">
        <v>198</v>
      </c>
      <c r="F325" s="64" t="s">
        <v>198</v>
      </c>
      <c r="G325" s="146" t="s">
        <v>1420</v>
      </c>
      <c r="H325" s="16">
        <v>25000</v>
      </c>
      <c r="I325" s="16">
        <v>0</v>
      </c>
      <c r="J325" s="1">
        <v>0</v>
      </c>
      <c r="K325" s="412">
        <v>0</v>
      </c>
      <c r="L325" s="412">
        <v>0</v>
      </c>
      <c r="M325" s="782">
        <v>0</v>
      </c>
      <c r="N325" s="850">
        <v>0</v>
      </c>
      <c r="O325" s="29">
        <v>0</v>
      </c>
      <c r="P325" s="201">
        <v>0</v>
      </c>
      <c r="Q325" s="29">
        <v>0</v>
      </c>
      <c r="R325" s="1268">
        <v>0</v>
      </c>
      <c r="S325" s="1269">
        <v>0</v>
      </c>
      <c r="T325" s="1268">
        <v>0</v>
      </c>
      <c r="U325" s="850">
        <v>0</v>
      </c>
      <c r="V325" s="201">
        <v>0</v>
      </c>
      <c r="W325" s="201">
        <v>0</v>
      </c>
      <c r="X325" s="17">
        <v>0</v>
      </c>
      <c r="Y325" s="42">
        <v>0</v>
      </c>
      <c r="Z325" s="42">
        <v>25000</v>
      </c>
      <c r="AA325" s="33">
        <v>0</v>
      </c>
      <c r="AB325" s="201">
        <v>0</v>
      </c>
      <c r="AC325" s="29">
        <v>0</v>
      </c>
      <c r="AD325" s="1231">
        <v>0</v>
      </c>
      <c r="AE325" s="119" t="s">
        <v>484</v>
      </c>
      <c r="AF325" s="52" t="s">
        <v>19</v>
      </c>
      <c r="AG325" s="192" t="s">
        <v>962</v>
      </c>
      <c r="AH325" s="823" t="s">
        <v>513</v>
      </c>
      <c r="AI325" s="402" t="s">
        <v>513</v>
      </c>
    </row>
    <row r="326" spans="1:35" ht="30" x14ac:dyDescent="0.25">
      <c r="A326" s="59" t="s">
        <v>1211</v>
      </c>
      <c r="B326" s="115" t="s">
        <v>494</v>
      </c>
      <c r="C326" s="4">
        <v>2020</v>
      </c>
      <c r="D326" s="1294" t="s">
        <v>1220</v>
      </c>
      <c r="E326" s="60" t="s">
        <v>11</v>
      </c>
      <c r="F326" s="60" t="s">
        <v>11</v>
      </c>
      <c r="G326" s="448" t="s">
        <v>1184</v>
      </c>
      <c r="H326" s="1">
        <v>10000</v>
      </c>
      <c r="I326" s="1">
        <v>0</v>
      </c>
      <c r="J326" s="1">
        <v>0</v>
      </c>
      <c r="K326" s="412">
        <v>0</v>
      </c>
      <c r="L326" s="412">
        <v>0</v>
      </c>
      <c r="M326" s="782">
        <v>0</v>
      </c>
      <c r="N326" s="849">
        <v>0</v>
      </c>
      <c r="O326" s="27">
        <v>0</v>
      </c>
      <c r="P326" s="347">
        <v>0</v>
      </c>
      <c r="Q326" s="27">
        <v>5000</v>
      </c>
      <c r="R326" s="1268">
        <v>5000</v>
      </c>
      <c r="S326" s="1269">
        <v>0</v>
      </c>
      <c r="T326" s="1268">
        <f>R326+S326</f>
        <v>5000</v>
      </c>
      <c r="U326" s="849">
        <v>0</v>
      </c>
      <c r="V326" s="347">
        <v>5000</v>
      </c>
      <c r="W326" s="347">
        <v>0</v>
      </c>
      <c r="X326" s="2">
        <v>0</v>
      </c>
      <c r="Y326" s="2">
        <v>5000</v>
      </c>
      <c r="Z326" s="2">
        <v>0</v>
      </c>
      <c r="AA326" s="41">
        <v>0</v>
      </c>
      <c r="AB326" s="201">
        <v>0</v>
      </c>
      <c r="AC326" s="27">
        <v>0</v>
      </c>
      <c r="AD326" s="1231">
        <v>0</v>
      </c>
      <c r="AE326" s="119" t="s">
        <v>484</v>
      </c>
      <c r="AF326" s="4" t="s">
        <v>484</v>
      </c>
      <c r="AG326" s="192" t="s">
        <v>491</v>
      </c>
      <c r="AH326" s="192" t="s">
        <v>491</v>
      </c>
      <c r="AI326" s="106" t="s">
        <v>491</v>
      </c>
    </row>
    <row r="327" spans="1:35" s="756" customFormat="1" ht="15.75" thickBot="1" x14ac:dyDescent="0.3">
      <c r="A327" s="124" t="s">
        <v>544</v>
      </c>
      <c r="B327" s="126" t="s">
        <v>544</v>
      </c>
      <c r="C327" s="125" t="s">
        <v>544</v>
      </c>
      <c r="D327" s="122" t="s">
        <v>544</v>
      </c>
      <c r="E327" s="86" t="s">
        <v>544</v>
      </c>
      <c r="F327" s="86" t="s">
        <v>544</v>
      </c>
      <c r="G327" s="477" t="s">
        <v>544</v>
      </c>
      <c r="H327" s="872" t="s">
        <v>544</v>
      </c>
      <c r="I327" s="872" t="s">
        <v>544</v>
      </c>
      <c r="J327" s="872" t="s">
        <v>544</v>
      </c>
      <c r="K327" s="872" t="s">
        <v>544</v>
      </c>
      <c r="L327" s="873" t="s">
        <v>544</v>
      </c>
      <c r="M327" s="872" t="s">
        <v>544</v>
      </c>
      <c r="N327" s="1281" t="s">
        <v>544</v>
      </c>
      <c r="O327" s="875" t="s">
        <v>544</v>
      </c>
      <c r="P327" s="860" t="s">
        <v>544</v>
      </c>
      <c r="Q327" s="875" t="s">
        <v>544</v>
      </c>
      <c r="R327" s="887" t="s">
        <v>544</v>
      </c>
      <c r="S327" s="881" t="s">
        <v>544</v>
      </c>
      <c r="T327" s="887" t="s">
        <v>544</v>
      </c>
      <c r="U327" s="1281" t="s">
        <v>544</v>
      </c>
      <c r="V327" s="860" t="s">
        <v>544</v>
      </c>
      <c r="W327" s="860" t="s">
        <v>544</v>
      </c>
      <c r="X327" s="876" t="s">
        <v>544</v>
      </c>
      <c r="Y327" s="875" t="s">
        <v>544</v>
      </c>
      <c r="Z327" s="866" t="s">
        <v>544</v>
      </c>
      <c r="AA327" s="1314" t="s">
        <v>544</v>
      </c>
      <c r="AB327" s="1315" t="s">
        <v>544</v>
      </c>
      <c r="AC327" s="875" t="s">
        <v>544</v>
      </c>
      <c r="AD327" s="866" t="s">
        <v>544</v>
      </c>
      <c r="AE327" s="876" t="s">
        <v>544</v>
      </c>
      <c r="AF327" s="471" t="s">
        <v>544</v>
      </c>
      <c r="AG327" s="430" t="s">
        <v>544</v>
      </c>
      <c r="AH327" s="194" t="s">
        <v>544</v>
      </c>
      <c r="AI327" s="128" t="s">
        <v>544</v>
      </c>
    </row>
    <row r="328" spans="1:35" ht="41.25" customHeight="1" thickBot="1" x14ac:dyDescent="0.3">
      <c r="A328" s="705" t="s">
        <v>484</v>
      </c>
      <c r="B328" s="706" t="s">
        <v>484</v>
      </c>
      <c r="C328" s="139" t="s">
        <v>484</v>
      </c>
      <c r="D328" s="112" t="s">
        <v>484</v>
      </c>
      <c r="E328" s="139" t="s">
        <v>484</v>
      </c>
      <c r="F328" s="139" t="s">
        <v>484</v>
      </c>
      <c r="G328" s="789" t="s">
        <v>558</v>
      </c>
      <c r="H328" s="96">
        <f t="shared" ref="H328:I328" si="22">SUM(H292:H327)</f>
        <v>878778.2</v>
      </c>
      <c r="I328" s="96">
        <f t="shared" si="22"/>
        <v>38195.011449999998</v>
      </c>
      <c r="J328" s="96">
        <f>SUM(J292:J327)</f>
        <v>29432.376719999997</v>
      </c>
      <c r="K328" s="826">
        <f>SUM(K292:K327)</f>
        <v>18167.716590000004</v>
      </c>
      <c r="L328" s="827">
        <f>SUM(L292:L327)</f>
        <v>7240.5538899999992</v>
      </c>
      <c r="M328" s="826">
        <f>SUM(M292:M327)</f>
        <v>954.08090000000004</v>
      </c>
      <c r="N328" s="1308">
        <f t="shared" ref="N328:AD328" si="23">SUM(N292:N327)</f>
        <v>9284.8181299999997</v>
      </c>
      <c r="O328" s="96">
        <f t="shared" si="23"/>
        <v>20147.558589999997</v>
      </c>
      <c r="P328" s="96">
        <f t="shared" si="23"/>
        <v>18167.716590000004</v>
      </c>
      <c r="Q328" s="293">
        <f t="shared" si="23"/>
        <v>69011.254679999998</v>
      </c>
      <c r="R328" s="1272">
        <v>117909.33574000001</v>
      </c>
      <c r="S328" s="1273">
        <f t="shared" si="23"/>
        <v>-1297.98775</v>
      </c>
      <c r="T328" s="1272">
        <f t="shared" si="23"/>
        <v>116611.34799000001</v>
      </c>
      <c r="U328" s="854">
        <f t="shared" si="23"/>
        <v>3967.0219999999999</v>
      </c>
      <c r="V328" s="855">
        <f t="shared" si="23"/>
        <v>35150</v>
      </c>
      <c r="W328" s="855">
        <f t="shared" si="23"/>
        <v>82679.012669999996</v>
      </c>
      <c r="X328" s="684">
        <f t="shared" si="23"/>
        <v>40825.658890000006</v>
      </c>
      <c r="Y328" s="293">
        <f t="shared" si="23"/>
        <v>162621.69356000001</v>
      </c>
      <c r="Z328" s="293">
        <f t="shared" si="23"/>
        <v>561350.147</v>
      </c>
      <c r="AA328" s="293">
        <f t="shared" si="23"/>
        <v>0</v>
      </c>
      <c r="AB328" s="855">
        <f t="shared" si="23"/>
        <v>0</v>
      </c>
      <c r="AC328" s="684">
        <f t="shared" si="23"/>
        <v>0</v>
      </c>
      <c r="AD328" s="827">
        <f t="shared" si="23"/>
        <v>0</v>
      </c>
      <c r="AE328" s="120" t="s">
        <v>1491</v>
      </c>
      <c r="AF328" s="103" t="s">
        <v>484</v>
      </c>
      <c r="AG328" s="256" t="s">
        <v>484</v>
      </c>
      <c r="AH328" s="256" t="s">
        <v>484</v>
      </c>
      <c r="AI328" s="103" t="s">
        <v>484</v>
      </c>
    </row>
    <row r="329" spans="1:35" s="388" customFormat="1" ht="45" x14ac:dyDescent="0.25">
      <c r="A329" s="163" t="s">
        <v>257</v>
      </c>
      <c r="B329" s="116" t="s">
        <v>258</v>
      </c>
      <c r="C329" s="538">
        <v>2010</v>
      </c>
      <c r="D329" s="289" t="s">
        <v>623</v>
      </c>
      <c r="E329" s="78" t="s">
        <v>259</v>
      </c>
      <c r="F329" s="634" t="s">
        <v>259</v>
      </c>
      <c r="G329" s="451" t="s">
        <v>260</v>
      </c>
      <c r="H329" s="305">
        <v>500351.57689000003</v>
      </c>
      <c r="I329" s="75">
        <v>393613.86933999998</v>
      </c>
      <c r="J329" s="617">
        <v>5715.2075500000001</v>
      </c>
      <c r="K329" s="1994">
        <v>0</v>
      </c>
      <c r="L329" s="1337">
        <v>0</v>
      </c>
      <c r="M329" s="1259">
        <v>0</v>
      </c>
      <c r="N329" s="269">
        <v>5715.2075500000001</v>
      </c>
      <c r="O329" s="206">
        <v>0</v>
      </c>
      <c r="P329" s="207">
        <v>0</v>
      </c>
      <c r="Q329" s="392">
        <v>0</v>
      </c>
      <c r="R329" s="1318">
        <v>5715.2075499999992</v>
      </c>
      <c r="S329" s="635">
        <v>0</v>
      </c>
      <c r="T329" s="1318">
        <f t="shared" ref="T329:T351" si="24">R329+S329</f>
        <v>5715.2075499999992</v>
      </c>
      <c r="U329" s="718">
        <v>0</v>
      </c>
      <c r="V329" s="535">
        <v>0</v>
      </c>
      <c r="W329" s="505">
        <v>0</v>
      </c>
      <c r="X329" s="260">
        <v>0</v>
      </c>
      <c r="Y329" s="1297">
        <v>0</v>
      </c>
      <c r="Z329" s="800">
        <v>0</v>
      </c>
      <c r="AA329" s="1085">
        <v>0</v>
      </c>
      <c r="AB329" s="1319">
        <v>0</v>
      </c>
      <c r="AC329" s="798">
        <v>101022.5</v>
      </c>
      <c r="AD329" s="2078">
        <v>0</v>
      </c>
      <c r="AE329" s="345" t="s">
        <v>484</v>
      </c>
      <c r="AF329" s="1298" t="s">
        <v>535</v>
      </c>
      <c r="AG329" s="801" t="s">
        <v>332</v>
      </c>
      <c r="AH329" s="210" t="s">
        <v>514</v>
      </c>
      <c r="AI329" s="1293" t="s">
        <v>514</v>
      </c>
    </row>
    <row r="330" spans="1:35" ht="114" customHeight="1" x14ac:dyDescent="0.25">
      <c r="A330" s="1165" t="s">
        <v>261</v>
      </c>
      <c r="B330" s="982" t="s">
        <v>262</v>
      </c>
      <c r="C330" s="592">
        <v>2012</v>
      </c>
      <c r="D330" s="470" t="s">
        <v>622</v>
      </c>
      <c r="E330" s="983" t="s">
        <v>263</v>
      </c>
      <c r="F330" s="984" t="s">
        <v>263</v>
      </c>
      <c r="G330" s="1479" t="s">
        <v>264</v>
      </c>
      <c r="H330" s="558">
        <v>270000</v>
      </c>
      <c r="I330" s="1480">
        <v>7804.0595499999999</v>
      </c>
      <c r="J330" s="1209">
        <v>0</v>
      </c>
      <c r="K330" s="1914">
        <v>0</v>
      </c>
      <c r="L330" s="1835">
        <v>0</v>
      </c>
      <c r="M330" s="1835">
        <v>0</v>
      </c>
      <c r="N330" s="940">
        <f>1359.95045-1359.95045</f>
        <v>0</v>
      </c>
      <c r="O330" s="1162">
        <v>0</v>
      </c>
      <c r="P330" s="941">
        <v>0</v>
      </c>
      <c r="Q330" s="560">
        <v>12646.00045</v>
      </c>
      <c r="R330" s="1481">
        <v>1359.9504499999998</v>
      </c>
      <c r="S330" s="1482">
        <v>11286.05</v>
      </c>
      <c r="T330" s="1481">
        <f>R330+S330</f>
        <v>12646.00045</v>
      </c>
      <c r="U330" s="940">
        <v>0</v>
      </c>
      <c r="V330" s="1483">
        <v>0</v>
      </c>
      <c r="W330" s="1484">
        <v>1359.95</v>
      </c>
      <c r="X330" s="1485">
        <v>179242</v>
      </c>
      <c r="Y330" s="640">
        <v>180601.95</v>
      </c>
      <c r="Z330" s="640">
        <v>66947.990000000005</v>
      </c>
      <c r="AA330" s="559">
        <v>0</v>
      </c>
      <c r="AB330" s="941">
        <v>0</v>
      </c>
      <c r="AC330" s="560">
        <v>2000</v>
      </c>
      <c r="AD330" s="1892">
        <v>270000</v>
      </c>
      <c r="AE330" s="588" t="s">
        <v>1443</v>
      </c>
      <c r="AF330" s="1487" t="s">
        <v>43</v>
      </c>
      <c r="AG330" s="1488" t="s">
        <v>1007</v>
      </c>
      <c r="AH330" s="1167" t="s">
        <v>514</v>
      </c>
      <c r="AI330" s="1167" t="s">
        <v>514</v>
      </c>
    </row>
    <row r="331" spans="1:35" ht="87.75" customHeight="1" x14ac:dyDescent="0.25">
      <c r="A331" s="62" t="s">
        <v>265</v>
      </c>
      <c r="B331" s="93" t="s">
        <v>266</v>
      </c>
      <c r="C331" s="137">
        <v>2015</v>
      </c>
      <c r="D331" s="81" t="s">
        <v>267</v>
      </c>
      <c r="E331" s="80" t="s">
        <v>268</v>
      </c>
      <c r="F331" s="424" t="s">
        <v>268</v>
      </c>
      <c r="G331" s="449" t="s">
        <v>269</v>
      </c>
      <c r="H331" s="24">
        <v>86727</v>
      </c>
      <c r="I331" s="24">
        <v>0</v>
      </c>
      <c r="J331" s="16">
        <v>0</v>
      </c>
      <c r="K331" s="782">
        <v>0</v>
      </c>
      <c r="L331" s="1252">
        <v>0</v>
      </c>
      <c r="M331" s="1252">
        <v>0</v>
      </c>
      <c r="N331" s="851">
        <v>0</v>
      </c>
      <c r="O331" s="28">
        <v>0</v>
      </c>
      <c r="P331" s="496">
        <v>0</v>
      </c>
      <c r="Q331" s="28">
        <v>0</v>
      </c>
      <c r="R331" s="1268">
        <v>0</v>
      </c>
      <c r="S331" s="1269">
        <v>0</v>
      </c>
      <c r="T331" s="1268">
        <f t="shared" si="24"/>
        <v>0</v>
      </c>
      <c r="U331" s="851">
        <v>0</v>
      </c>
      <c r="V331" s="496">
        <v>0</v>
      </c>
      <c r="W331" s="496">
        <v>0</v>
      </c>
      <c r="X331" s="25">
        <v>0</v>
      </c>
      <c r="Y331" s="28">
        <v>0</v>
      </c>
      <c r="Z331" s="18">
        <v>71647.25</v>
      </c>
      <c r="AA331" s="33">
        <v>0</v>
      </c>
      <c r="AB331" s="201">
        <v>0</v>
      </c>
      <c r="AC331" s="29">
        <v>15079.75</v>
      </c>
      <c r="AD331" s="2073">
        <v>0</v>
      </c>
      <c r="AE331" s="71" t="s">
        <v>1170</v>
      </c>
      <c r="AF331" s="5" t="s">
        <v>1171</v>
      </c>
      <c r="AG331" s="193" t="s">
        <v>473</v>
      </c>
      <c r="AH331" s="193" t="s">
        <v>514</v>
      </c>
      <c r="AI331" s="104" t="s">
        <v>514</v>
      </c>
    </row>
    <row r="332" spans="1:35" ht="25.5" x14ac:dyDescent="0.25">
      <c r="A332" s="62" t="s">
        <v>270</v>
      </c>
      <c r="B332" s="85" t="s">
        <v>271</v>
      </c>
      <c r="C332" s="133">
        <v>2016</v>
      </c>
      <c r="D332" s="5" t="s">
        <v>621</v>
      </c>
      <c r="E332" s="63" t="s">
        <v>272</v>
      </c>
      <c r="F332" s="64" t="s">
        <v>272</v>
      </c>
      <c r="G332" s="450" t="s">
        <v>273</v>
      </c>
      <c r="H332" s="782">
        <v>64134.499000000003</v>
      </c>
      <c r="I332" s="782">
        <v>51668.417599999993</v>
      </c>
      <c r="J332" s="16">
        <v>0</v>
      </c>
      <c r="K332" s="782">
        <v>0</v>
      </c>
      <c r="L332" s="782">
        <v>0</v>
      </c>
      <c r="M332" s="782">
        <v>0</v>
      </c>
      <c r="N332" s="851">
        <v>0</v>
      </c>
      <c r="O332" s="155">
        <v>0</v>
      </c>
      <c r="P332" s="496">
        <v>0</v>
      </c>
      <c r="Q332" s="496">
        <v>2000</v>
      </c>
      <c r="R332" s="1268">
        <v>2000</v>
      </c>
      <c r="S332" s="1269">
        <v>0</v>
      </c>
      <c r="T332" s="1268">
        <f t="shared" si="24"/>
        <v>2000</v>
      </c>
      <c r="U332" s="851">
        <v>0</v>
      </c>
      <c r="V332" s="496">
        <v>0</v>
      </c>
      <c r="W332" s="496">
        <v>0</v>
      </c>
      <c r="X332" s="25">
        <v>0</v>
      </c>
      <c r="Y332" s="28">
        <v>0</v>
      </c>
      <c r="Z332" s="18">
        <v>10466.081399999999</v>
      </c>
      <c r="AA332" s="33">
        <v>0</v>
      </c>
      <c r="AB332" s="496">
        <v>0</v>
      </c>
      <c r="AC332" s="28">
        <v>0</v>
      </c>
      <c r="AD332" s="2071">
        <v>0</v>
      </c>
      <c r="AE332" s="313" t="s">
        <v>484</v>
      </c>
      <c r="AF332" s="44" t="s">
        <v>43</v>
      </c>
      <c r="AG332" s="193" t="s">
        <v>208</v>
      </c>
      <c r="AH332" s="193" t="s">
        <v>514</v>
      </c>
      <c r="AI332" s="104" t="s">
        <v>514</v>
      </c>
    </row>
    <row r="333" spans="1:35" s="354" customFormat="1" ht="25.5" x14ac:dyDescent="0.25">
      <c r="A333" s="1017" t="s">
        <v>274</v>
      </c>
      <c r="B333" s="997" t="s">
        <v>275</v>
      </c>
      <c r="C333" s="522">
        <v>2017</v>
      </c>
      <c r="D333" s="353" t="s">
        <v>618</v>
      </c>
      <c r="E333" s="811" t="s">
        <v>263</v>
      </c>
      <c r="F333" s="998" t="s">
        <v>263</v>
      </c>
      <c r="G333" s="932" t="s">
        <v>276</v>
      </c>
      <c r="H333" s="376">
        <v>15009.99</v>
      </c>
      <c r="I333" s="376">
        <v>6944.1900000000005</v>
      </c>
      <c r="J333" s="418">
        <v>0</v>
      </c>
      <c r="K333" s="412">
        <v>0</v>
      </c>
      <c r="L333" s="1513">
        <v>0</v>
      </c>
      <c r="M333" s="1513">
        <v>0</v>
      </c>
      <c r="N333" s="929">
        <v>0</v>
      </c>
      <c r="O333" s="572">
        <v>0</v>
      </c>
      <c r="P333" s="594">
        <v>0</v>
      </c>
      <c r="Q333" s="572">
        <v>255.81</v>
      </c>
      <c r="R333" s="1320">
        <v>255.81</v>
      </c>
      <c r="S333" s="1321">
        <v>0</v>
      </c>
      <c r="T333" s="1320">
        <f t="shared" si="24"/>
        <v>255.81</v>
      </c>
      <c r="U333" s="929">
        <v>5374.8</v>
      </c>
      <c r="V333" s="594">
        <v>0</v>
      </c>
      <c r="W333" s="594">
        <v>0</v>
      </c>
      <c r="X333" s="930">
        <v>0</v>
      </c>
      <c r="Y333" s="572">
        <v>5374.8</v>
      </c>
      <c r="Z333" s="810">
        <v>0</v>
      </c>
      <c r="AA333" s="1122">
        <v>0</v>
      </c>
      <c r="AB333" s="594">
        <v>0</v>
      </c>
      <c r="AC333" s="572">
        <v>2435.19</v>
      </c>
      <c r="AD333" s="2092">
        <v>0</v>
      </c>
      <c r="AE333" s="1922" t="s">
        <v>1500</v>
      </c>
      <c r="AF333" s="211" t="s">
        <v>43</v>
      </c>
      <c r="AG333" s="1923" t="s">
        <v>609</v>
      </c>
      <c r="AH333" s="805" t="s">
        <v>514</v>
      </c>
      <c r="AI333" s="805" t="s">
        <v>514</v>
      </c>
    </row>
    <row r="334" spans="1:35" s="388" customFormat="1" ht="63.75" x14ac:dyDescent="0.25">
      <c r="A334" s="127" t="s">
        <v>277</v>
      </c>
      <c r="B334" s="114" t="s">
        <v>278</v>
      </c>
      <c r="C334" s="134">
        <v>2017</v>
      </c>
      <c r="D334" s="66" t="s">
        <v>617</v>
      </c>
      <c r="E334" s="67" t="s">
        <v>263</v>
      </c>
      <c r="F334" s="74" t="s">
        <v>263</v>
      </c>
      <c r="G334" s="149" t="s">
        <v>279</v>
      </c>
      <c r="H334" s="21">
        <v>45685</v>
      </c>
      <c r="I334" s="21">
        <v>15000</v>
      </c>
      <c r="J334" s="75">
        <v>0</v>
      </c>
      <c r="K334" s="412">
        <v>25685</v>
      </c>
      <c r="L334" s="1259">
        <v>0</v>
      </c>
      <c r="M334" s="1259">
        <v>0</v>
      </c>
      <c r="N334" s="269">
        <f>15685-15685</f>
        <v>0</v>
      </c>
      <c r="O334" s="206">
        <v>0</v>
      </c>
      <c r="P334" s="207">
        <f>10000+15685</f>
        <v>25685</v>
      </c>
      <c r="Q334" s="38">
        <v>0</v>
      </c>
      <c r="R334" s="1550">
        <v>25685</v>
      </c>
      <c r="S334" s="494">
        <v>0</v>
      </c>
      <c r="T334" s="1550">
        <f t="shared" si="24"/>
        <v>25685</v>
      </c>
      <c r="U334" s="269">
        <v>0</v>
      </c>
      <c r="V334" s="207">
        <v>0</v>
      </c>
      <c r="W334" s="207">
        <v>0</v>
      </c>
      <c r="X334" s="22">
        <v>0</v>
      </c>
      <c r="Y334" s="38">
        <v>0</v>
      </c>
      <c r="Z334" s="23">
        <v>0</v>
      </c>
      <c r="AA334" s="34">
        <v>0</v>
      </c>
      <c r="AB334" s="207">
        <v>0</v>
      </c>
      <c r="AC334" s="38">
        <v>5000</v>
      </c>
      <c r="AD334" s="208">
        <v>0</v>
      </c>
      <c r="AE334" s="1981" t="s">
        <v>1242</v>
      </c>
      <c r="AF334" s="66" t="s">
        <v>1243</v>
      </c>
      <c r="AG334" s="65" t="s">
        <v>540</v>
      </c>
      <c r="AH334" s="210" t="s">
        <v>1103</v>
      </c>
      <c r="AI334" s="65" t="s">
        <v>1103</v>
      </c>
    </row>
    <row r="335" spans="1:35" s="388" customFormat="1" ht="30" x14ac:dyDescent="0.25">
      <c r="A335" s="127" t="s">
        <v>281</v>
      </c>
      <c r="B335" s="114" t="s">
        <v>474</v>
      </c>
      <c r="C335" s="134">
        <v>2018</v>
      </c>
      <c r="D335" s="66" t="s">
        <v>545</v>
      </c>
      <c r="E335" s="67" t="s">
        <v>263</v>
      </c>
      <c r="F335" s="74" t="s">
        <v>263</v>
      </c>
      <c r="G335" s="149" t="s">
        <v>282</v>
      </c>
      <c r="H335" s="21">
        <v>31544.25</v>
      </c>
      <c r="I335" s="21">
        <v>28494.254529999998</v>
      </c>
      <c r="J335" s="75">
        <v>0</v>
      </c>
      <c r="K335" s="1994">
        <v>0</v>
      </c>
      <c r="L335" s="1259">
        <v>1049.9954700000001</v>
      </c>
      <c r="M335" s="1259">
        <v>0</v>
      </c>
      <c r="N335" s="269">
        <v>0</v>
      </c>
      <c r="O335" s="38">
        <v>0</v>
      </c>
      <c r="P335" s="207">
        <v>0</v>
      </c>
      <c r="Q335" s="38">
        <v>1049.9954700000001</v>
      </c>
      <c r="R335" s="1550">
        <v>1049.9954700000001</v>
      </c>
      <c r="S335" s="494">
        <v>0</v>
      </c>
      <c r="T335" s="1550">
        <f t="shared" si="24"/>
        <v>1049.9954700000001</v>
      </c>
      <c r="U335" s="269">
        <v>0</v>
      </c>
      <c r="V335" s="207">
        <v>0</v>
      </c>
      <c r="W335" s="207">
        <v>0</v>
      </c>
      <c r="X335" s="22">
        <v>0</v>
      </c>
      <c r="Y335" s="38">
        <v>0</v>
      </c>
      <c r="Z335" s="23">
        <v>0</v>
      </c>
      <c r="AA335" s="34">
        <v>0</v>
      </c>
      <c r="AB335" s="207">
        <v>0</v>
      </c>
      <c r="AC335" s="38">
        <v>2000</v>
      </c>
      <c r="AD335" s="208">
        <v>0</v>
      </c>
      <c r="AE335" s="1981" t="s">
        <v>1242</v>
      </c>
      <c r="AF335" s="135" t="s">
        <v>535</v>
      </c>
      <c r="AG335" s="65" t="s">
        <v>541</v>
      </c>
      <c r="AH335" s="210" t="s">
        <v>514</v>
      </c>
      <c r="AI335" s="65" t="s">
        <v>514</v>
      </c>
    </row>
    <row r="336" spans="1:35" ht="26.25" thickBot="1" x14ac:dyDescent="0.3">
      <c r="A336" s="124" t="s">
        <v>283</v>
      </c>
      <c r="B336" s="126" t="s">
        <v>475</v>
      </c>
      <c r="C336" s="296">
        <v>2018</v>
      </c>
      <c r="D336" s="125" t="s">
        <v>78</v>
      </c>
      <c r="E336" s="86" t="s">
        <v>280</v>
      </c>
      <c r="F336" s="446" t="s">
        <v>280</v>
      </c>
      <c r="G336" s="455" t="s">
        <v>284</v>
      </c>
      <c r="H336" s="46">
        <v>68000</v>
      </c>
      <c r="I336" s="46">
        <v>66000</v>
      </c>
      <c r="J336" s="46">
        <v>0</v>
      </c>
      <c r="K336" s="1381">
        <v>0</v>
      </c>
      <c r="L336" s="835">
        <v>0</v>
      </c>
      <c r="M336" s="835">
        <v>0</v>
      </c>
      <c r="N336" s="845">
        <v>0</v>
      </c>
      <c r="O336" s="98">
        <v>0</v>
      </c>
      <c r="P336" s="203">
        <v>0</v>
      </c>
      <c r="Q336" s="98">
        <v>0</v>
      </c>
      <c r="R336" s="1270">
        <v>0</v>
      </c>
      <c r="S336" s="1271">
        <v>0</v>
      </c>
      <c r="T336" s="1270">
        <f t="shared" si="24"/>
        <v>0</v>
      </c>
      <c r="U336" s="845">
        <v>0</v>
      </c>
      <c r="V336" s="203">
        <v>0</v>
      </c>
      <c r="W336" s="203">
        <v>0</v>
      </c>
      <c r="X336" s="47">
        <v>0</v>
      </c>
      <c r="Y336" s="48">
        <v>0</v>
      </c>
      <c r="Z336" s="49">
        <v>0</v>
      </c>
      <c r="AA336" s="48">
        <v>0</v>
      </c>
      <c r="AB336" s="203">
        <v>0</v>
      </c>
      <c r="AC336" s="98">
        <v>2000</v>
      </c>
      <c r="AD336" s="1203">
        <v>0</v>
      </c>
      <c r="AE336" s="191" t="s">
        <v>1244</v>
      </c>
      <c r="AF336" s="125" t="s">
        <v>43</v>
      </c>
      <c r="AG336" s="194" t="s">
        <v>541</v>
      </c>
      <c r="AH336" s="194" t="s">
        <v>514</v>
      </c>
      <c r="AI336" s="128" t="s">
        <v>514</v>
      </c>
    </row>
    <row r="337" spans="1:35" ht="26.25" thickBot="1" x14ac:dyDescent="0.3">
      <c r="A337" s="773" t="s">
        <v>476</v>
      </c>
      <c r="B337" s="1862" t="s">
        <v>709</v>
      </c>
      <c r="C337" s="55">
        <v>2019</v>
      </c>
      <c r="D337" s="55" t="s">
        <v>498</v>
      </c>
      <c r="E337" s="302" t="s">
        <v>280</v>
      </c>
      <c r="F337" s="774" t="s">
        <v>280</v>
      </c>
      <c r="G337" s="1142" t="s">
        <v>477</v>
      </c>
      <c r="H337" s="130">
        <v>230000</v>
      </c>
      <c r="I337" s="130">
        <v>29999.99999</v>
      </c>
      <c r="J337" s="158">
        <v>71628.840540000005</v>
      </c>
      <c r="K337" s="1964">
        <v>63118.27216</v>
      </c>
      <c r="L337" s="1250">
        <f>15658.26961+15603.08065</f>
        <v>31261.350259999999</v>
      </c>
      <c r="M337" s="1250">
        <v>0</v>
      </c>
      <c r="N337" s="853">
        <f>80000-48174.86576</f>
        <v>31825.134239999999</v>
      </c>
      <c r="O337" s="303">
        <v>39803.706299999998</v>
      </c>
      <c r="P337" s="279">
        <f>37000.00001+88371.15946-21120-41132.88731</f>
        <v>63118.27216</v>
      </c>
      <c r="Q337" s="303">
        <f>21120+41132.88731</f>
        <v>62252.887309999998</v>
      </c>
      <c r="R337" s="1264">
        <v>197000.00000999999</v>
      </c>
      <c r="S337" s="1265">
        <v>0</v>
      </c>
      <c r="T337" s="1264">
        <f t="shared" si="24"/>
        <v>197000.00000999999</v>
      </c>
      <c r="U337" s="853">
        <v>0</v>
      </c>
      <c r="V337" s="279">
        <v>0</v>
      </c>
      <c r="W337" s="279">
        <v>0</v>
      </c>
      <c r="X337" s="765">
        <v>0</v>
      </c>
      <c r="Y337" s="764">
        <v>0</v>
      </c>
      <c r="Z337" s="766">
        <v>0</v>
      </c>
      <c r="AA337" s="764">
        <v>0</v>
      </c>
      <c r="AB337" s="279">
        <v>0</v>
      </c>
      <c r="AC337" s="303">
        <v>3000</v>
      </c>
      <c r="AD337" s="2088">
        <v>0</v>
      </c>
      <c r="AE337" s="521" t="s">
        <v>484</v>
      </c>
      <c r="AF337" s="304" t="s">
        <v>43</v>
      </c>
      <c r="AG337" s="1982" t="s">
        <v>732</v>
      </c>
      <c r="AH337" s="777" t="s">
        <v>514</v>
      </c>
      <c r="AI337" s="1143" t="s">
        <v>514</v>
      </c>
    </row>
    <row r="338" spans="1:35" ht="26.25" thickBot="1" x14ac:dyDescent="0.3">
      <c r="A338" s="723" t="s">
        <v>860</v>
      </c>
      <c r="B338" s="1862" t="s">
        <v>898</v>
      </c>
      <c r="C338" s="55">
        <v>2019</v>
      </c>
      <c r="D338" s="55" t="s">
        <v>969</v>
      </c>
      <c r="E338" s="302" t="s">
        <v>280</v>
      </c>
      <c r="F338" s="774" t="s">
        <v>280</v>
      </c>
      <c r="G338" s="775" t="s">
        <v>849</v>
      </c>
      <c r="H338" s="130">
        <v>8500</v>
      </c>
      <c r="I338" s="130">
        <v>2500</v>
      </c>
      <c r="J338" s="130">
        <v>0</v>
      </c>
      <c r="K338" s="1253">
        <v>0</v>
      </c>
      <c r="L338" s="1253">
        <v>0</v>
      </c>
      <c r="M338" s="1253">
        <v>0</v>
      </c>
      <c r="N338" s="853">
        <v>0</v>
      </c>
      <c r="O338" s="303">
        <v>0</v>
      </c>
      <c r="P338" s="279">
        <v>0</v>
      </c>
      <c r="Q338" s="303">
        <v>5500</v>
      </c>
      <c r="R338" s="1264">
        <v>5500</v>
      </c>
      <c r="S338" s="1265">
        <v>0</v>
      </c>
      <c r="T338" s="1264">
        <f t="shared" si="24"/>
        <v>5500</v>
      </c>
      <c r="U338" s="719">
        <v>0</v>
      </c>
      <c r="V338" s="316">
        <v>0</v>
      </c>
      <c r="W338" s="316">
        <v>0</v>
      </c>
      <c r="X338" s="9">
        <v>0</v>
      </c>
      <c r="Y338" s="764">
        <v>0</v>
      </c>
      <c r="Z338" s="766">
        <v>0</v>
      </c>
      <c r="AA338" s="1863">
        <v>0</v>
      </c>
      <c r="AB338" s="1864">
        <v>0</v>
      </c>
      <c r="AC338" s="303">
        <v>500</v>
      </c>
      <c r="AD338" s="2088">
        <v>0</v>
      </c>
      <c r="AE338" s="1865" t="s">
        <v>484</v>
      </c>
      <c r="AF338" s="304" t="s">
        <v>43</v>
      </c>
      <c r="AG338" s="1982" t="s">
        <v>208</v>
      </c>
      <c r="AH338" s="777" t="s">
        <v>514</v>
      </c>
      <c r="AI338" s="1143" t="s">
        <v>514</v>
      </c>
    </row>
    <row r="339" spans="1:35" ht="30.75" thickBot="1" x14ac:dyDescent="0.3">
      <c r="A339" s="723" t="s">
        <v>1210</v>
      </c>
      <c r="B339" s="773" t="s">
        <v>494</v>
      </c>
      <c r="C339" s="55">
        <v>2020</v>
      </c>
      <c r="D339" s="1706" t="s">
        <v>1220</v>
      </c>
      <c r="E339" s="302" t="s">
        <v>11</v>
      </c>
      <c r="F339" s="302" t="s">
        <v>11</v>
      </c>
      <c r="G339" s="1142" t="s">
        <v>1184</v>
      </c>
      <c r="H339" s="130">
        <v>44000</v>
      </c>
      <c r="I339" s="130">
        <v>0</v>
      </c>
      <c r="J339" s="130">
        <v>0</v>
      </c>
      <c r="K339" s="1897">
        <v>0</v>
      </c>
      <c r="L339" s="1253">
        <v>0</v>
      </c>
      <c r="M339" s="1253">
        <v>0</v>
      </c>
      <c r="N339" s="853">
        <v>0</v>
      </c>
      <c r="O339" s="303">
        <v>0</v>
      </c>
      <c r="P339" s="279">
        <v>0</v>
      </c>
      <c r="Q339" s="303">
        <v>22000</v>
      </c>
      <c r="R339" s="1264">
        <v>22000</v>
      </c>
      <c r="S339" s="1265">
        <v>0</v>
      </c>
      <c r="T339" s="1264">
        <f t="shared" si="24"/>
        <v>22000</v>
      </c>
      <c r="U339" s="853">
        <v>0</v>
      </c>
      <c r="V339" s="279">
        <v>22000</v>
      </c>
      <c r="W339" s="279">
        <v>0</v>
      </c>
      <c r="X339" s="765">
        <v>0</v>
      </c>
      <c r="Y339" s="765">
        <v>22000</v>
      </c>
      <c r="Z339" s="765">
        <v>0</v>
      </c>
      <c r="AA339" s="764">
        <v>0</v>
      </c>
      <c r="AB339" s="279">
        <v>0</v>
      </c>
      <c r="AC339" s="303">
        <v>0</v>
      </c>
      <c r="AD339" s="2088">
        <v>0</v>
      </c>
      <c r="AE339" s="304" t="s">
        <v>484</v>
      </c>
      <c r="AF339" s="55" t="s">
        <v>484</v>
      </c>
      <c r="AG339" s="777" t="s">
        <v>491</v>
      </c>
      <c r="AH339" s="777" t="s">
        <v>491</v>
      </c>
      <c r="AI339" s="1143" t="s">
        <v>491</v>
      </c>
    </row>
    <row r="340" spans="1:35" ht="56.25" x14ac:dyDescent="0.25">
      <c r="A340" s="1132" t="s">
        <v>1245</v>
      </c>
      <c r="B340" s="962" t="s">
        <v>1246</v>
      </c>
      <c r="C340" s="358">
        <v>2020</v>
      </c>
      <c r="D340" s="1322" t="s">
        <v>484</v>
      </c>
      <c r="E340" s="1145" t="s">
        <v>280</v>
      </c>
      <c r="F340" s="1145" t="s">
        <v>280</v>
      </c>
      <c r="G340" s="1323" t="s">
        <v>1247</v>
      </c>
      <c r="H340" s="420">
        <v>250000</v>
      </c>
      <c r="I340" s="420">
        <v>0</v>
      </c>
      <c r="J340" s="420">
        <v>0</v>
      </c>
      <c r="K340" s="1899">
        <v>0</v>
      </c>
      <c r="L340" s="1899">
        <v>0</v>
      </c>
      <c r="M340" s="1325">
        <v>0</v>
      </c>
      <c r="N340" s="966">
        <v>0</v>
      </c>
      <c r="O340" s="965">
        <v>0</v>
      </c>
      <c r="P340" s="967">
        <v>0</v>
      </c>
      <c r="Q340" s="965">
        <v>4000</v>
      </c>
      <c r="R340" s="1274">
        <v>0</v>
      </c>
      <c r="S340" s="1275">
        <v>4000</v>
      </c>
      <c r="T340" s="1274">
        <f t="shared" si="24"/>
        <v>4000</v>
      </c>
      <c r="U340" s="966">
        <v>3000</v>
      </c>
      <c r="V340" s="967">
        <v>3000</v>
      </c>
      <c r="W340" s="967">
        <v>5000</v>
      </c>
      <c r="X340" s="968">
        <v>15000</v>
      </c>
      <c r="Y340" s="686">
        <v>26000</v>
      </c>
      <c r="Z340" s="686">
        <v>220000</v>
      </c>
      <c r="AA340" s="1326">
        <v>0</v>
      </c>
      <c r="AB340" s="967">
        <v>0</v>
      </c>
      <c r="AC340" s="965">
        <v>0</v>
      </c>
      <c r="AD340" s="1895">
        <v>250000</v>
      </c>
      <c r="AE340" s="284" t="s">
        <v>1442</v>
      </c>
      <c r="AF340" s="360" t="s">
        <v>43</v>
      </c>
      <c r="AG340" s="1327" t="s">
        <v>208</v>
      </c>
      <c r="AH340" s="1152" t="s">
        <v>513</v>
      </c>
      <c r="AI340" s="978" t="s">
        <v>513</v>
      </c>
    </row>
    <row r="341" spans="1:35" ht="69" x14ac:dyDescent="0.25">
      <c r="A341" s="1136" t="s">
        <v>1248</v>
      </c>
      <c r="B341" s="1153" t="s">
        <v>494</v>
      </c>
      <c r="C341" s="358">
        <v>2020</v>
      </c>
      <c r="D341" s="1328" t="s">
        <v>484</v>
      </c>
      <c r="E341" s="895" t="s">
        <v>280</v>
      </c>
      <c r="F341" s="895" t="s">
        <v>280</v>
      </c>
      <c r="G341" s="1154" t="s">
        <v>1249</v>
      </c>
      <c r="H341" s="378">
        <v>337000</v>
      </c>
      <c r="I341" s="378">
        <v>0</v>
      </c>
      <c r="J341" s="378">
        <v>0</v>
      </c>
      <c r="K341" s="1899">
        <v>0</v>
      </c>
      <c r="L341" s="1900">
        <v>0</v>
      </c>
      <c r="M341" s="1330">
        <v>0</v>
      </c>
      <c r="N341" s="1138">
        <v>0</v>
      </c>
      <c r="O341" s="519">
        <v>0</v>
      </c>
      <c r="P341" s="1137">
        <v>0</v>
      </c>
      <c r="Q341" s="519">
        <v>0</v>
      </c>
      <c r="R341" s="1331">
        <v>0</v>
      </c>
      <c r="S341" s="1332">
        <v>0</v>
      </c>
      <c r="T341" s="1274">
        <f t="shared" si="24"/>
        <v>0</v>
      </c>
      <c r="U341" s="1138">
        <v>0</v>
      </c>
      <c r="V341" s="1137">
        <v>0</v>
      </c>
      <c r="W341" s="1137">
        <v>0</v>
      </c>
      <c r="X341" s="979">
        <v>0</v>
      </c>
      <c r="Y341" s="514">
        <v>0</v>
      </c>
      <c r="Z341" s="979">
        <v>337000</v>
      </c>
      <c r="AA341" s="1139">
        <v>0</v>
      </c>
      <c r="AB341" s="1137">
        <v>0</v>
      </c>
      <c r="AC341" s="519">
        <v>0</v>
      </c>
      <c r="AD341" s="1212">
        <v>337000</v>
      </c>
      <c r="AE341" s="286" t="s">
        <v>1464</v>
      </c>
      <c r="AF341" s="358" t="s">
        <v>1250</v>
      </c>
      <c r="AG341" s="1333"/>
      <c r="AH341" s="1155"/>
      <c r="AI341" s="796"/>
    </row>
    <row r="342" spans="1:35" ht="30.75" x14ac:dyDescent="0.25">
      <c r="A342" s="1136" t="s">
        <v>1251</v>
      </c>
      <c r="B342" s="1153" t="s">
        <v>494</v>
      </c>
      <c r="C342" s="358">
        <v>2020</v>
      </c>
      <c r="D342" s="1328" t="s">
        <v>484</v>
      </c>
      <c r="E342" s="895" t="s">
        <v>280</v>
      </c>
      <c r="F342" s="895" t="s">
        <v>280</v>
      </c>
      <c r="G342" s="1154" t="s">
        <v>1252</v>
      </c>
      <c r="H342" s="378">
        <v>49000</v>
      </c>
      <c r="I342" s="378">
        <v>0</v>
      </c>
      <c r="J342" s="378">
        <v>0</v>
      </c>
      <c r="K342" s="1899">
        <v>0</v>
      </c>
      <c r="L342" s="1900">
        <v>0</v>
      </c>
      <c r="M342" s="1330">
        <v>0</v>
      </c>
      <c r="N342" s="1138">
        <v>0</v>
      </c>
      <c r="O342" s="519">
        <v>0</v>
      </c>
      <c r="P342" s="1137">
        <v>0</v>
      </c>
      <c r="Q342" s="519">
        <v>49000</v>
      </c>
      <c r="R342" s="1331">
        <v>0</v>
      </c>
      <c r="S342" s="1332">
        <v>49000</v>
      </c>
      <c r="T342" s="1274">
        <f t="shared" si="24"/>
        <v>49000</v>
      </c>
      <c r="U342" s="1138">
        <v>0</v>
      </c>
      <c r="V342" s="1137">
        <v>0</v>
      </c>
      <c r="W342" s="1137">
        <v>0</v>
      </c>
      <c r="X342" s="979">
        <v>0</v>
      </c>
      <c r="Y342" s="514">
        <v>0</v>
      </c>
      <c r="Z342" s="979">
        <v>0</v>
      </c>
      <c r="AA342" s="1139">
        <v>0</v>
      </c>
      <c r="AB342" s="1137">
        <v>0</v>
      </c>
      <c r="AC342" s="519">
        <v>0</v>
      </c>
      <c r="AD342" s="1212">
        <v>49000</v>
      </c>
      <c r="AE342" s="1334" t="s">
        <v>1465</v>
      </c>
      <c r="AF342" s="358" t="s">
        <v>43</v>
      </c>
      <c r="AG342" s="1333" t="s">
        <v>208</v>
      </c>
      <c r="AH342" s="1155" t="s">
        <v>514</v>
      </c>
      <c r="AI342" s="796" t="s">
        <v>514</v>
      </c>
    </row>
    <row r="343" spans="1:35" ht="171" x14ac:dyDescent="0.25">
      <c r="A343" s="1136" t="s">
        <v>1253</v>
      </c>
      <c r="B343" s="1153" t="s">
        <v>1254</v>
      </c>
      <c r="C343" s="358">
        <v>2020</v>
      </c>
      <c r="D343" s="1328" t="s">
        <v>484</v>
      </c>
      <c r="E343" s="895" t="s">
        <v>268</v>
      </c>
      <c r="F343" s="895" t="s">
        <v>268</v>
      </c>
      <c r="G343" s="1154" t="s">
        <v>1255</v>
      </c>
      <c r="H343" s="378">
        <v>350335</v>
      </c>
      <c r="I343" s="378">
        <v>0</v>
      </c>
      <c r="J343" s="378">
        <v>0</v>
      </c>
      <c r="K343" s="1899">
        <v>0</v>
      </c>
      <c r="L343" s="1900">
        <v>0</v>
      </c>
      <c r="M343" s="1330">
        <v>0</v>
      </c>
      <c r="N343" s="1138">
        <v>0</v>
      </c>
      <c r="O343" s="519">
        <v>0</v>
      </c>
      <c r="P343" s="1137">
        <v>0</v>
      </c>
      <c r="Q343" s="519">
        <v>0</v>
      </c>
      <c r="R343" s="1331">
        <v>0</v>
      </c>
      <c r="S343" s="1332">
        <v>0</v>
      </c>
      <c r="T343" s="1274">
        <f t="shared" si="24"/>
        <v>0</v>
      </c>
      <c r="U343" s="1138">
        <v>0</v>
      </c>
      <c r="V343" s="1137">
        <v>0</v>
      </c>
      <c r="W343" s="1137">
        <v>0</v>
      </c>
      <c r="X343" s="979">
        <v>20000</v>
      </c>
      <c r="Y343" s="514">
        <v>20000</v>
      </c>
      <c r="Z343" s="979">
        <v>330335</v>
      </c>
      <c r="AA343" s="1139">
        <v>0</v>
      </c>
      <c r="AB343" s="1137">
        <v>0</v>
      </c>
      <c r="AC343" s="519">
        <v>0</v>
      </c>
      <c r="AD343" s="1212">
        <v>350335</v>
      </c>
      <c r="AE343" s="1884" t="s">
        <v>1466</v>
      </c>
      <c r="AF343" s="358" t="s">
        <v>1256</v>
      </c>
      <c r="AG343" s="1333" t="s">
        <v>1007</v>
      </c>
      <c r="AH343" s="1155" t="s">
        <v>513</v>
      </c>
      <c r="AI343" s="796" t="s">
        <v>513</v>
      </c>
    </row>
    <row r="344" spans="1:35" ht="43.5" x14ac:dyDescent="0.25">
      <c r="A344" s="1136" t="s">
        <v>1257</v>
      </c>
      <c r="B344" s="1153" t="s">
        <v>494</v>
      </c>
      <c r="C344" s="358">
        <v>2020</v>
      </c>
      <c r="D344" s="1328" t="s">
        <v>484</v>
      </c>
      <c r="E344" s="895" t="s">
        <v>268</v>
      </c>
      <c r="F344" s="895" t="s">
        <v>268</v>
      </c>
      <c r="G344" s="1154" t="s">
        <v>1258</v>
      </c>
      <c r="H344" s="378">
        <v>128408</v>
      </c>
      <c r="I344" s="378">
        <v>0</v>
      </c>
      <c r="J344" s="378">
        <v>0</v>
      </c>
      <c r="K344" s="1899">
        <v>0</v>
      </c>
      <c r="L344" s="1900">
        <v>0</v>
      </c>
      <c r="M344" s="1330">
        <v>0</v>
      </c>
      <c r="N344" s="1138">
        <v>0</v>
      </c>
      <c r="O344" s="519">
        <v>0</v>
      </c>
      <c r="P344" s="1137">
        <v>0</v>
      </c>
      <c r="Q344" s="519">
        <v>0</v>
      </c>
      <c r="R344" s="1331">
        <v>0</v>
      </c>
      <c r="S344" s="1332">
        <v>0</v>
      </c>
      <c r="T344" s="1274">
        <f t="shared" si="24"/>
        <v>0</v>
      </c>
      <c r="U344" s="1138">
        <v>0</v>
      </c>
      <c r="V344" s="1137">
        <v>0</v>
      </c>
      <c r="W344" s="1137">
        <v>0</v>
      </c>
      <c r="X344" s="979">
        <v>10000</v>
      </c>
      <c r="Y344" s="514">
        <v>10000</v>
      </c>
      <c r="Z344" s="979">
        <v>118408</v>
      </c>
      <c r="AA344" s="1139">
        <v>0</v>
      </c>
      <c r="AB344" s="1137">
        <v>0</v>
      </c>
      <c r="AC344" s="519">
        <v>0</v>
      </c>
      <c r="AD344" s="1212">
        <v>128408</v>
      </c>
      <c r="AE344" s="1884" t="s">
        <v>1467</v>
      </c>
      <c r="AF344" s="358" t="s">
        <v>1256</v>
      </c>
      <c r="AG344" s="1333" t="s">
        <v>1007</v>
      </c>
      <c r="AH344" s="1155" t="s">
        <v>513</v>
      </c>
      <c r="AI344" s="796" t="s">
        <v>513</v>
      </c>
    </row>
    <row r="345" spans="1:35" ht="30.75" x14ac:dyDescent="0.25">
      <c r="A345" s="1136" t="s">
        <v>1259</v>
      </c>
      <c r="B345" s="1153" t="s">
        <v>1260</v>
      </c>
      <c r="C345" s="358">
        <v>2020</v>
      </c>
      <c r="D345" s="1328" t="s">
        <v>484</v>
      </c>
      <c r="E345" s="895" t="s">
        <v>259</v>
      </c>
      <c r="F345" s="895" t="s">
        <v>259</v>
      </c>
      <c r="G345" s="1154" t="s">
        <v>1261</v>
      </c>
      <c r="H345" s="378">
        <v>122397</v>
      </c>
      <c r="I345" s="378">
        <v>0</v>
      </c>
      <c r="J345" s="378">
        <v>0</v>
      </c>
      <c r="K345" s="1899">
        <v>0</v>
      </c>
      <c r="L345" s="1900">
        <v>0</v>
      </c>
      <c r="M345" s="1330">
        <v>0</v>
      </c>
      <c r="N345" s="1138">
        <v>0</v>
      </c>
      <c r="O345" s="519">
        <v>0</v>
      </c>
      <c r="P345" s="1137">
        <v>0</v>
      </c>
      <c r="Q345" s="519">
        <v>50000</v>
      </c>
      <c r="R345" s="1331">
        <v>0</v>
      </c>
      <c r="S345" s="1332">
        <v>50000</v>
      </c>
      <c r="T345" s="1274">
        <f t="shared" si="24"/>
        <v>50000</v>
      </c>
      <c r="U345" s="1138">
        <v>30000</v>
      </c>
      <c r="V345" s="1137">
        <v>27250</v>
      </c>
      <c r="W345" s="1137">
        <v>0</v>
      </c>
      <c r="X345" s="979">
        <v>0</v>
      </c>
      <c r="Y345" s="514">
        <v>57250</v>
      </c>
      <c r="Z345" s="979">
        <v>0</v>
      </c>
      <c r="AA345" s="1139">
        <v>0</v>
      </c>
      <c r="AB345" s="1137">
        <v>0</v>
      </c>
      <c r="AC345" s="519">
        <v>15147</v>
      </c>
      <c r="AD345" s="1212">
        <v>107250</v>
      </c>
      <c r="AE345" s="1334" t="s">
        <v>1441</v>
      </c>
      <c r="AF345" s="358" t="s">
        <v>43</v>
      </c>
      <c r="AG345" s="1333" t="s">
        <v>1501</v>
      </c>
      <c r="AH345" s="1155" t="s">
        <v>514</v>
      </c>
      <c r="AI345" s="796" t="s">
        <v>514</v>
      </c>
    </row>
    <row r="346" spans="1:35" ht="94.5" x14ac:dyDescent="0.25">
      <c r="A346" s="1136" t="s">
        <v>1262</v>
      </c>
      <c r="B346" s="1153" t="s">
        <v>494</v>
      </c>
      <c r="C346" s="358">
        <v>2020</v>
      </c>
      <c r="D346" s="1328" t="s">
        <v>484</v>
      </c>
      <c r="E346" s="895" t="s">
        <v>1263</v>
      </c>
      <c r="F346" s="895" t="s">
        <v>1263</v>
      </c>
      <c r="G346" s="1154" t="s">
        <v>1264</v>
      </c>
      <c r="H346" s="378">
        <v>25000</v>
      </c>
      <c r="I346" s="378">
        <v>0</v>
      </c>
      <c r="J346" s="378">
        <v>0</v>
      </c>
      <c r="K346" s="1899">
        <v>0</v>
      </c>
      <c r="L346" s="1900">
        <v>0</v>
      </c>
      <c r="M346" s="1330">
        <v>0</v>
      </c>
      <c r="N346" s="1138">
        <v>0</v>
      </c>
      <c r="O346" s="519">
        <v>0</v>
      </c>
      <c r="P346" s="1137">
        <v>0</v>
      </c>
      <c r="Q346" s="519">
        <v>0</v>
      </c>
      <c r="R346" s="1331">
        <v>0</v>
      </c>
      <c r="S346" s="1332">
        <v>0</v>
      </c>
      <c r="T346" s="1274">
        <f t="shared" si="24"/>
        <v>0</v>
      </c>
      <c r="U346" s="1138">
        <v>120</v>
      </c>
      <c r="V346" s="1137">
        <v>1000</v>
      </c>
      <c r="W346" s="1137">
        <v>1000</v>
      </c>
      <c r="X346" s="979">
        <v>1000</v>
      </c>
      <c r="Y346" s="514">
        <v>3120</v>
      </c>
      <c r="Z346" s="979">
        <v>21880</v>
      </c>
      <c r="AA346" s="1139">
        <v>0</v>
      </c>
      <c r="AB346" s="1137">
        <v>0</v>
      </c>
      <c r="AC346" s="519">
        <v>0</v>
      </c>
      <c r="AD346" s="1212">
        <v>25000</v>
      </c>
      <c r="AE346" s="286" t="s">
        <v>1440</v>
      </c>
      <c r="AF346" s="358" t="s">
        <v>1265</v>
      </c>
      <c r="AG346" s="1333" t="s">
        <v>616</v>
      </c>
      <c r="AH346" s="1155" t="s">
        <v>513</v>
      </c>
      <c r="AI346" s="796" t="s">
        <v>513</v>
      </c>
    </row>
    <row r="347" spans="1:35" ht="69" x14ac:dyDescent="0.25">
      <c r="A347" s="1136" t="s">
        <v>1266</v>
      </c>
      <c r="B347" s="1153" t="s">
        <v>494</v>
      </c>
      <c r="C347" s="358">
        <v>2020</v>
      </c>
      <c r="D347" s="1328" t="s">
        <v>484</v>
      </c>
      <c r="E347" s="895" t="s">
        <v>1263</v>
      </c>
      <c r="F347" s="895" t="s">
        <v>1263</v>
      </c>
      <c r="G347" s="1154" t="s">
        <v>1267</v>
      </c>
      <c r="H347" s="378">
        <v>40000</v>
      </c>
      <c r="I347" s="378">
        <v>0</v>
      </c>
      <c r="J347" s="378">
        <v>0</v>
      </c>
      <c r="K347" s="1899">
        <v>0</v>
      </c>
      <c r="L347" s="1900">
        <v>0</v>
      </c>
      <c r="M347" s="1330">
        <v>0</v>
      </c>
      <c r="N347" s="1138">
        <v>0</v>
      </c>
      <c r="O347" s="519">
        <v>0</v>
      </c>
      <c r="P347" s="1137">
        <v>0</v>
      </c>
      <c r="Q347" s="519">
        <v>0</v>
      </c>
      <c r="R347" s="1331">
        <v>0</v>
      </c>
      <c r="S347" s="1332">
        <v>0</v>
      </c>
      <c r="T347" s="1274">
        <f t="shared" si="24"/>
        <v>0</v>
      </c>
      <c r="U347" s="1138">
        <v>120</v>
      </c>
      <c r="V347" s="1137">
        <v>1000</v>
      </c>
      <c r="W347" s="1137">
        <v>1000</v>
      </c>
      <c r="X347" s="979">
        <v>1000</v>
      </c>
      <c r="Y347" s="514">
        <v>3120</v>
      </c>
      <c r="Z347" s="979">
        <v>36880</v>
      </c>
      <c r="AA347" s="1139">
        <v>0</v>
      </c>
      <c r="AB347" s="1137">
        <v>0</v>
      </c>
      <c r="AC347" s="519">
        <v>0</v>
      </c>
      <c r="AD347" s="1212">
        <v>40000</v>
      </c>
      <c r="AE347" s="286" t="s">
        <v>1439</v>
      </c>
      <c r="AF347" s="358" t="s">
        <v>1265</v>
      </c>
      <c r="AG347" s="1333" t="s">
        <v>616</v>
      </c>
      <c r="AH347" s="1155" t="s">
        <v>513</v>
      </c>
      <c r="AI347" s="796" t="s">
        <v>513</v>
      </c>
    </row>
    <row r="348" spans="1:35" ht="81.75" x14ac:dyDescent="0.25">
      <c r="A348" s="1136" t="s">
        <v>1268</v>
      </c>
      <c r="B348" s="1153" t="s">
        <v>494</v>
      </c>
      <c r="C348" s="358">
        <v>2020</v>
      </c>
      <c r="D348" s="1328" t="s">
        <v>484</v>
      </c>
      <c r="E348" s="895" t="s">
        <v>1263</v>
      </c>
      <c r="F348" s="895" t="s">
        <v>1263</v>
      </c>
      <c r="G348" s="1154" t="s">
        <v>1269</v>
      </c>
      <c r="H348" s="378">
        <v>30000</v>
      </c>
      <c r="I348" s="378">
        <v>0</v>
      </c>
      <c r="J348" s="378">
        <v>0</v>
      </c>
      <c r="K348" s="1899">
        <v>0</v>
      </c>
      <c r="L348" s="1900">
        <v>0</v>
      </c>
      <c r="M348" s="1330">
        <v>0</v>
      </c>
      <c r="N348" s="1138">
        <v>0</v>
      </c>
      <c r="O348" s="519">
        <v>0</v>
      </c>
      <c r="P348" s="1137">
        <v>0</v>
      </c>
      <c r="Q348" s="519">
        <v>0</v>
      </c>
      <c r="R348" s="1331">
        <v>0</v>
      </c>
      <c r="S348" s="1332">
        <v>0</v>
      </c>
      <c r="T348" s="1274">
        <f t="shared" si="24"/>
        <v>0</v>
      </c>
      <c r="U348" s="1138">
        <v>120</v>
      </c>
      <c r="V348" s="1137">
        <v>1000</v>
      </c>
      <c r="W348" s="1137">
        <v>1000</v>
      </c>
      <c r="X348" s="979">
        <v>1000</v>
      </c>
      <c r="Y348" s="514">
        <v>3120</v>
      </c>
      <c r="Z348" s="979">
        <v>26880</v>
      </c>
      <c r="AA348" s="1139">
        <v>0</v>
      </c>
      <c r="AB348" s="1137">
        <v>0</v>
      </c>
      <c r="AC348" s="519">
        <v>0</v>
      </c>
      <c r="AD348" s="1212">
        <v>30000</v>
      </c>
      <c r="AE348" s="286" t="s">
        <v>1438</v>
      </c>
      <c r="AF348" s="358" t="s">
        <v>1265</v>
      </c>
      <c r="AG348" s="1333" t="s">
        <v>616</v>
      </c>
      <c r="AH348" s="1155" t="s">
        <v>513</v>
      </c>
      <c r="AI348" s="796" t="s">
        <v>513</v>
      </c>
    </row>
    <row r="349" spans="1:35" ht="81.75" x14ac:dyDescent="0.25">
      <c r="A349" s="1136" t="s">
        <v>1270</v>
      </c>
      <c r="B349" s="1153" t="s">
        <v>494</v>
      </c>
      <c r="C349" s="358">
        <v>2020</v>
      </c>
      <c r="D349" s="1328" t="s">
        <v>484</v>
      </c>
      <c r="E349" s="895" t="s">
        <v>1271</v>
      </c>
      <c r="F349" s="895" t="s">
        <v>1271</v>
      </c>
      <c r="G349" s="1154" t="s">
        <v>1272</v>
      </c>
      <c r="H349" s="378">
        <v>219607</v>
      </c>
      <c r="I349" s="378">
        <v>0</v>
      </c>
      <c r="J349" s="378">
        <v>0</v>
      </c>
      <c r="K349" s="1899">
        <v>0</v>
      </c>
      <c r="L349" s="1900">
        <v>0</v>
      </c>
      <c r="M349" s="1330">
        <v>0</v>
      </c>
      <c r="N349" s="1138">
        <v>0</v>
      </c>
      <c r="O349" s="519">
        <v>0</v>
      </c>
      <c r="P349" s="1137">
        <v>0</v>
      </c>
      <c r="Q349" s="519">
        <v>0</v>
      </c>
      <c r="R349" s="1331">
        <v>0</v>
      </c>
      <c r="S349" s="1332">
        <v>0</v>
      </c>
      <c r="T349" s="1274">
        <f t="shared" si="24"/>
        <v>0</v>
      </c>
      <c r="U349" s="1138">
        <v>12000</v>
      </c>
      <c r="V349" s="1137">
        <v>30000</v>
      </c>
      <c r="W349" s="1137">
        <v>30000</v>
      </c>
      <c r="X349" s="979">
        <v>58000</v>
      </c>
      <c r="Y349" s="514">
        <v>130000</v>
      </c>
      <c r="Z349" s="979">
        <v>89607</v>
      </c>
      <c r="AA349" s="1139">
        <v>0</v>
      </c>
      <c r="AB349" s="1137">
        <v>0</v>
      </c>
      <c r="AC349" s="519">
        <v>0</v>
      </c>
      <c r="AD349" s="1212">
        <v>199607</v>
      </c>
      <c r="AE349" s="286" t="s">
        <v>1437</v>
      </c>
      <c r="AF349" s="358" t="s">
        <v>1273</v>
      </c>
      <c r="AG349" s="1333" t="s">
        <v>208</v>
      </c>
      <c r="AH349" s="1155" t="s">
        <v>513</v>
      </c>
      <c r="AI349" s="796" t="s">
        <v>513</v>
      </c>
    </row>
    <row r="350" spans="1:35" ht="81.75" x14ac:dyDescent="0.25">
      <c r="A350" s="1136" t="s">
        <v>1274</v>
      </c>
      <c r="B350" s="1153" t="s">
        <v>494</v>
      </c>
      <c r="C350" s="358">
        <v>2020</v>
      </c>
      <c r="D350" s="1328" t="s">
        <v>484</v>
      </c>
      <c r="E350" s="895" t="s">
        <v>1271</v>
      </c>
      <c r="F350" s="895" t="s">
        <v>1271</v>
      </c>
      <c r="G350" s="1154" t="s">
        <v>1275</v>
      </c>
      <c r="H350" s="378">
        <v>245726</v>
      </c>
      <c r="I350" s="378">
        <v>0</v>
      </c>
      <c r="J350" s="378">
        <v>0</v>
      </c>
      <c r="K350" s="1899">
        <v>0</v>
      </c>
      <c r="L350" s="1900">
        <v>0</v>
      </c>
      <c r="M350" s="1330">
        <v>0</v>
      </c>
      <c r="N350" s="1138">
        <v>0</v>
      </c>
      <c r="O350" s="519">
        <v>0</v>
      </c>
      <c r="P350" s="1137">
        <v>0</v>
      </c>
      <c r="Q350" s="519">
        <v>0</v>
      </c>
      <c r="R350" s="1331">
        <v>0</v>
      </c>
      <c r="S350" s="1332">
        <v>0</v>
      </c>
      <c r="T350" s="1274">
        <f t="shared" si="24"/>
        <v>0</v>
      </c>
      <c r="U350" s="1138">
        <v>0</v>
      </c>
      <c r="V350" s="1137">
        <v>0</v>
      </c>
      <c r="W350" s="1137">
        <v>0</v>
      </c>
      <c r="X350" s="979">
        <v>0</v>
      </c>
      <c r="Y350" s="514">
        <v>0</v>
      </c>
      <c r="Z350" s="979">
        <v>245726</v>
      </c>
      <c r="AA350" s="1139">
        <v>0</v>
      </c>
      <c r="AB350" s="1137">
        <v>0</v>
      </c>
      <c r="AC350" s="519">
        <v>0</v>
      </c>
      <c r="AD350" s="1212">
        <v>170723</v>
      </c>
      <c r="AE350" s="286" t="s">
        <v>1437</v>
      </c>
      <c r="AF350" s="358" t="s">
        <v>1273</v>
      </c>
      <c r="AG350" s="1333" t="s">
        <v>208</v>
      </c>
      <c r="AH350" s="1155" t="s">
        <v>513</v>
      </c>
      <c r="AI350" s="796" t="s">
        <v>513</v>
      </c>
    </row>
    <row r="351" spans="1:35" ht="30.75" x14ac:dyDescent="0.25">
      <c r="A351" s="1136" t="s">
        <v>1276</v>
      </c>
      <c r="B351" s="1153" t="s">
        <v>1277</v>
      </c>
      <c r="C351" s="358">
        <v>2020</v>
      </c>
      <c r="D351" s="1328" t="s">
        <v>484</v>
      </c>
      <c r="E351" s="895" t="s">
        <v>1271</v>
      </c>
      <c r="F351" s="895" t="s">
        <v>1271</v>
      </c>
      <c r="G351" s="1154" t="s">
        <v>1278</v>
      </c>
      <c r="H351" s="378">
        <v>37600</v>
      </c>
      <c r="I351" s="378">
        <v>0</v>
      </c>
      <c r="J351" s="378">
        <v>0</v>
      </c>
      <c r="K351" s="1899">
        <v>0</v>
      </c>
      <c r="L351" s="1900">
        <v>0</v>
      </c>
      <c r="M351" s="1330">
        <v>0</v>
      </c>
      <c r="N351" s="1138">
        <v>0</v>
      </c>
      <c r="O351" s="519">
        <v>0</v>
      </c>
      <c r="P351" s="1137">
        <v>0</v>
      </c>
      <c r="Q351" s="1335">
        <v>2000</v>
      </c>
      <c r="R351" s="1331">
        <v>0</v>
      </c>
      <c r="S351" s="1332">
        <v>2000</v>
      </c>
      <c r="T351" s="1274">
        <f t="shared" si="24"/>
        <v>2000</v>
      </c>
      <c r="U351" s="1138">
        <v>9000</v>
      </c>
      <c r="V351" s="1137">
        <v>15000</v>
      </c>
      <c r="W351" s="1137">
        <v>11600</v>
      </c>
      <c r="X351" s="979">
        <v>0</v>
      </c>
      <c r="Y351" s="968">
        <v>35600</v>
      </c>
      <c r="Z351" s="979">
        <v>0</v>
      </c>
      <c r="AA351" s="1139">
        <v>0</v>
      </c>
      <c r="AB351" s="1137">
        <v>0</v>
      </c>
      <c r="AC351" s="519">
        <v>0</v>
      </c>
      <c r="AD351" s="1212">
        <v>37600</v>
      </c>
      <c r="AE351" s="1885" t="s">
        <v>1468</v>
      </c>
      <c r="AF351" s="358" t="s">
        <v>43</v>
      </c>
      <c r="AG351" s="1155" t="s">
        <v>732</v>
      </c>
      <c r="AH351" s="1155" t="s">
        <v>514</v>
      </c>
      <c r="AI351" s="796" t="s">
        <v>513</v>
      </c>
    </row>
    <row r="352" spans="1:35" s="756" customFormat="1" ht="15.75" thickBot="1" x14ac:dyDescent="0.3">
      <c r="A352" s="156" t="s">
        <v>544</v>
      </c>
      <c r="B352" s="187" t="s">
        <v>544</v>
      </c>
      <c r="C352" s="54" t="s">
        <v>544</v>
      </c>
      <c r="D352" s="168" t="s">
        <v>544</v>
      </c>
      <c r="E352" s="89" t="s">
        <v>544</v>
      </c>
      <c r="F352" s="89" t="s">
        <v>544</v>
      </c>
      <c r="G352" s="410" t="s">
        <v>544</v>
      </c>
      <c r="H352" s="858" t="s">
        <v>544</v>
      </c>
      <c r="I352" s="858" t="s">
        <v>544</v>
      </c>
      <c r="J352" s="858" t="s">
        <v>544</v>
      </c>
      <c r="K352" s="872" t="s">
        <v>544</v>
      </c>
      <c r="L352" s="408" t="s">
        <v>544</v>
      </c>
      <c r="M352" s="872" t="s">
        <v>544</v>
      </c>
      <c r="N352" s="1157" t="s">
        <v>544</v>
      </c>
      <c r="O352" s="859" t="s">
        <v>544</v>
      </c>
      <c r="P352" s="861" t="s">
        <v>544</v>
      </c>
      <c r="Q352" s="859" t="s">
        <v>544</v>
      </c>
      <c r="R352" s="1156" t="s">
        <v>544</v>
      </c>
      <c r="S352" s="884" t="s">
        <v>544</v>
      </c>
      <c r="T352" s="1156" t="s">
        <v>544</v>
      </c>
      <c r="U352" s="1157" t="s">
        <v>544</v>
      </c>
      <c r="V352" s="861" t="s">
        <v>544</v>
      </c>
      <c r="W352" s="861" t="s">
        <v>544</v>
      </c>
      <c r="X352" s="791" t="s">
        <v>544</v>
      </c>
      <c r="Y352" s="431" t="s">
        <v>544</v>
      </c>
      <c r="Z352" s="791" t="s">
        <v>544</v>
      </c>
      <c r="AA352" s="886" t="s">
        <v>544</v>
      </c>
      <c r="AB352" s="1317" t="s">
        <v>544</v>
      </c>
      <c r="AC352" s="859" t="s">
        <v>544</v>
      </c>
      <c r="AD352" s="431" t="s">
        <v>544</v>
      </c>
      <c r="AE352" s="791" t="s">
        <v>544</v>
      </c>
      <c r="AF352" s="1336" t="s">
        <v>544</v>
      </c>
      <c r="AG352" s="708" t="s">
        <v>544</v>
      </c>
      <c r="AH352" s="195" t="s">
        <v>544</v>
      </c>
      <c r="AI352" s="186" t="s">
        <v>544</v>
      </c>
    </row>
    <row r="353" spans="1:35" ht="41.25" customHeight="1" thickBot="1" x14ac:dyDescent="0.3">
      <c r="A353" s="705" t="s">
        <v>484</v>
      </c>
      <c r="B353" s="706" t="s">
        <v>484</v>
      </c>
      <c r="C353" s="139" t="s">
        <v>484</v>
      </c>
      <c r="D353" s="112" t="s">
        <v>484</v>
      </c>
      <c r="E353" s="139" t="s">
        <v>484</v>
      </c>
      <c r="F353" s="139" t="s">
        <v>484</v>
      </c>
      <c r="G353" s="789" t="s">
        <v>557</v>
      </c>
      <c r="H353" s="96">
        <f t="shared" ref="H353:Q353" si="25">SUM(H329:H352)</f>
        <v>3199025.3158900002</v>
      </c>
      <c r="I353" s="96">
        <f t="shared" si="25"/>
        <v>602024.79100999993</v>
      </c>
      <c r="J353" s="96">
        <f>SUM(J329:J352)</f>
        <v>77344.048090000011</v>
      </c>
      <c r="K353" s="826">
        <f>SUM(K329:K352)</f>
        <v>88803.272159999993</v>
      </c>
      <c r="L353" s="827">
        <f>SUM(L329:L352)</f>
        <v>32311.345730000001</v>
      </c>
      <c r="M353" s="826">
        <f>SUM(M329:M352)</f>
        <v>0</v>
      </c>
      <c r="N353" s="1308">
        <f t="shared" si="25"/>
        <v>37540.341789999999</v>
      </c>
      <c r="O353" s="96">
        <f t="shared" si="25"/>
        <v>39803.706299999998</v>
      </c>
      <c r="P353" s="96">
        <f t="shared" si="25"/>
        <v>88803.272159999993</v>
      </c>
      <c r="Q353" s="293">
        <f t="shared" si="25"/>
        <v>210704.69323</v>
      </c>
      <c r="R353" s="1272">
        <v>260565.96347999998</v>
      </c>
      <c r="S353" s="1273">
        <f t="shared" ref="S353:AA353" si="26">SUM(S329:S352)</f>
        <v>116286.05</v>
      </c>
      <c r="T353" s="1272">
        <f t="shared" si="26"/>
        <v>376852.01347999997</v>
      </c>
      <c r="U353" s="854">
        <f t="shared" si="26"/>
        <v>59734.8</v>
      </c>
      <c r="V353" s="855">
        <f t="shared" si="26"/>
        <v>100250</v>
      </c>
      <c r="W353" s="855">
        <f t="shared" si="26"/>
        <v>50959.95</v>
      </c>
      <c r="X353" s="684">
        <f t="shared" si="26"/>
        <v>285242</v>
      </c>
      <c r="Y353" s="293">
        <f t="shared" si="26"/>
        <v>496186.75</v>
      </c>
      <c r="Z353" s="293">
        <f t="shared" si="26"/>
        <v>1575777.3214</v>
      </c>
      <c r="AA353" s="293">
        <f t="shared" si="26"/>
        <v>0</v>
      </c>
      <c r="AB353" s="855">
        <v>0</v>
      </c>
      <c r="AC353" s="684">
        <f>SUM(AC329:AC352)</f>
        <v>148184.44</v>
      </c>
      <c r="AD353" s="827">
        <f>SUM(AD329:AD352)</f>
        <v>1994923</v>
      </c>
      <c r="AE353" s="120" t="s">
        <v>1492</v>
      </c>
      <c r="AF353" s="97" t="s">
        <v>484</v>
      </c>
      <c r="AG353" s="513" t="s">
        <v>484</v>
      </c>
      <c r="AH353" s="254" t="s">
        <v>484</v>
      </c>
      <c r="AI353" s="102" t="s">
        <v>484</v>
      </c>
    </row>
    <row r="354" spans="1:35" ht="30" x14ac:dyDescent="0.25">
      <c r="A354" s="1050" t="s">
        <v>285</v>
      </c>
      <c r="B354" s="1101" t="s">
        <v>286</v>
      </c>
      <c r="C354" s="453">
        <v>2014</v>
      </c>
      <c r="D354" s="453" t="s">
        <v>620</v>
      </c>
      <c r="E354" s="1095" t="s">
        <v>11</v>
      </c>
      <c r="F354" s="1102" t="s">
        <v>11</v>
      </c>
      <c r="G354" s="1077" t="s">
        <v>287</v>
      </c>
      <c r="H354" s="543">
        <v>3978</v>
      </c>
      <c r="I354" s="543">
        <v>2047</v>
      </c>
      <c r="J354" s="543">
        <v>0</v>
      </c>
      <c r="K354" s="1837">
        <v>0</v>
      </c>
      <c r="L354" s="1448">
        <v>0</v>
      </c>
      <c r="M354" s="1448">
        <v>0</v>
      </c>
      <c r="N354" s="1815">
        <v>0</v>
      </c>
      <c r="O354" s="904">
        <v>0</v>
      </c>
      <c r="P354" s="905">
        <v>0</v>
      </c>
      <c r="Q354" s="904">
        <v>0</v>
      </c>
      <c r="R354" s="1468">
        <v>1931</v>
      </c>
      <c r="S354" s="1469">
        <v>-1931</v>
      </c>
      <c r="T354" s="1468">
        <f>R354+S354</f>
        <v>0</v>
      </c>
      <c r="U354" s="906">
        <v>0</v>
      </c>
      <c r="V354" s="907">
        <v>0</v>
      </c>
      <c r="W354" s="907">
        <v>1931</v>
      </c>
      <c r="X354" s="580">
        <v>0</v>
      </c>
      <c r="Y354" s="908">
        <v>1931</v>
      </c>
      <c r="Z354" s="598">
        <v>0</v>
      </c>
      <c r="AA354" s="904">
        <v>0</v>
      </c>
      <c r="AB354" s="1816">
        <v>0</v>
      </c>
      <c r="AC354" s="1878">
        <v>0</v>
      </c>
      <c r="AD354" s="2086">
        <v>0</v>
      </c>
      <c r="AE354" s="1102" t="s">
        <v>1431</v>
      </c>
      <c r="AF354" s="452" t="s">
        <v>43</v>
      </c>
      <c r="AG354" s="1817" t="s">
        <v>836</v>
      </c>
      <c r="AH354" s="1818" t="s">
        <v>514</v>
      </c>
      <c r="AI354" s="1819" t="s">
        <v>514</v>
      </c>
    </row>
    <row r="355" spans="1:35" s="391" customFormat="1" ht="30" x14ac:dyDescent="0.25">
      <c r="A355" s="70" t="s">
        <v>288</v>
      </c>
      <c r="B355" s="85" t="s">
        <v>289</v>
      </c>
      <c r="C355" s="5">
        <v>2017</v>
      </c>
      <c r="D355" s="5" t="s">
        <v>619</v>
      </c>
      <c r="E355" s="63" t="s">
        <v>290</v>
      </c>
      <c r="F355" s="141" t="s">
        <v>290</v>
      </c>
      <c r="G355" s="146" t="s">
        <v>291</v>
      </c>
      <c r="H355" s="16">
        <v>7615</v>
      </c>
      <c r="I355" s="16">
        <v>4257.0930900000003</v>
      </c>
      <c r="J355" s="1">
        <v>191.64</v>
      </c>
      <c r="K355" s="412">
        <v>792.33</v>
      </c>
      <c r="L355" s="839">
        <f>19.753+120.9758</f>
        <v>140.72880000000001</v>
      </c>
      <c r="M355" s="839">
        <v>0</v>
      </c>
      <c r="N355" s="1302">
        <f>4834-2196.53979-1848.5533-788.90691</f>
        <v>0</v>
      </c>
      <c r="O355" s="225">
        <v>191.64</v>
      </c>
      <c r="P355" s="202">
        <f>681+111.33</f>
        <v>792.33</v>
      </c>
      <c r="Q355" s="225">
        <f>2485+0.26691-111.33</f>
        <v>2373.9369099999999</v>
      </c>
      <c r="R355" s="1268">
        <v>3357.9069100000002</v>
      </c>
      <c r="S355" s="1269">
        <v>0</v>
      </c>
      <c r="T355" s="1268">
        <f>R355+S355</f>
        <v>3357.9069100000002</v>
      </c>
      <c r="U355" s="850">
        <v>0</v>
      </c>
      <c r="V355" s="201">
        <v>0</v>
      </c>
      <c r="W355" s="201">
        <v>0</v>
      </c>
      <c r="X355" s="17">
        <v>0</v>
      </c>
      <c r="Y355" s="32">
        <v>0</v>
      </c>
      <c r="Z355" s="31">
        <v>0</v>
      </c>
      <c r="AA355" s="225">
        <v>0</v>
      </c>
      <c r="AB355" s="202">
        <v>0</v>
      </c>
      <c r="AC355" s="225">
        <v>0</v>
      </c>
      <c r="AD355" s="253">
        <v>0</v>
      </c>
      <c r="AE355" s="64" t="s">
        <v>484</v>
      </c>
      <c r="AF355" s="179" t="s">
        <v>13</v>
      </c>
      <c r="AG355" s="490" t="s">
        <v>208</v>
      </c>
      <c r="AH355" s="490" t="s">
        <v>514</v>
      </c>
      <c r="AI355" s="180" t="s">
        <v>514</v>
      </c>
    </row>
    <row r="356" spans="1:35" s="388" customFormat="1" ht="30.75" thickBot="1" x14ac:dyDescent="0.3">
      <c r="A356" s="172" t="s">
        <v>292</v>
      </c>
      <c r="B356" s="403" t="s">
        <v>293</v>
      </c>
      <c r="C356" s="167">
        <v>2018</v>
      </c>
      <c r="D356" s="167" t="s">
        <v>171</v>
      </c>
      <c r="E356" s="307" t="s">
        <v>11</v>
      </c>
      <c r="F356" s="1820" t="s">
        <v>11</v>
      </c>
      <c r="G356" s="445" t="s">
        <v>294</v>
      </c>
      <c r="H356" s="174">
        <v>0</v>
      </c>
      <c r="I356" s="174">
        <v>0</v>
      </c>
      <c r="J356" s="174">
        <v>0</v>
      </c>
      <c r="K356" s="1284">
        <v>0</v>
      </c>
      <c r="L356" s="1284">
        <v>0</v>
      </c>
      <c r="M356" s="1284">
        <v>0</v>
      </c>
      <c r="N356" s="720">
        <v>0</v>
      </c>
      <c r="O356" s="500">
        <v>0</v>
      </c>
      <c r="P356" s="507">
        <v>0</v>
      </c>
      <c r="Q356" s="500">
        <v>0</v>
      </c>
      <c r="R356" s="1396">
        <v>1500</v>
      </c>
      <c r="S356" s="495">
        <v>-1500</v>
      </c>
      <c r="T356" s="1396">
        <f>R356+S356</f>
        <v>0</v>
      </c>
      <c r="U356" s="322">
        <v>0</v>
      </c>
      <c r="V356" s="308">
        <v>0</v>
      </c>
      <c r="W356" s="308">
        <v>0</v>
      </c>
      <c r="X356" s="176">
        <v>0</v>
      </c>
      <c r="Y356" s="368">
        <v>0</v>
      </c>
      <c r="Z356" s="367">
        <v>0</v>
      </c>
      <c r="AA356" s="500">
        <v>0</v>
      </c>
      <c r="AB356" s="507">
        <v>0</v>
      </c>
      <c r="AC356" s="500">
        <v>0</v>
      </c>
      <c r="AD356" s="2093">
        <v>0</v>
      </c>
      <c r="AE356" s="325" t="s">
        <v>484</v>
      </c>
      <c r="AF356" s="167" t="s">
        <v>1432</v>
      </c>
      <c r="AG356" s="1821" t="s">
        <v>208</v>
      </c>
      <c r="AH356" s="1821" t="s">
        <v>513</v>
      </c>
      <c r="AI356" s="1822" t="s">
        <v>513</v>
      </c>
    </row>
    <row r="357" spans="1:35" ht="30" x14ac:dyDescent="0.25">
      <c r="A357" s="59" t="s">
        <v>1217</v>
      </c>
      <c r="B357" s="115" t="s">
        <v>494</v>
      </c>
      <c r="C357" s="4">
        <v>2020</v>
      </c>
      <c r="D357" s="1296" t="s">
        <v>1220</v>
      </c>
      <c r="E357" s="60" t="s">
        <v>11</v>
      </c>
      <c r="F357" s="60" t="s">
        <v>11</v>
      </c>
      <c r="G357" s="448" t="s">
        <v>1184</v>
      </c>
      <c r="H357" s="1">
        <v>1200</v>
      </c>
      <c r="I357" s="1">
        <v>0</v>
      </c>
      <c r="J357" s="1">
        <v>0</v>
      </c>
      <c r="K357" s="412">
        <v>0</v>
      </c>
      <c r="L357" s="839">
        <v>0</v>
      </c>
      <c r="M357" s="1276">
        <v>0</v>
      </c>
      <c r="N357" s="849">
        <v>0</v>
      </c>
      <c r="O357" s="27">
        <v>0</v>
      </c>
      <c r="P357" s="347">
        <v>0</v>
      </c>
      <c r="Q357" s="27">
        <v>600</v>
      </c>
      <c r="R357" s="1263">
        <v>600</v>
      </c>
      <c r="S357" s="1262">
        <v>0</v>
      </c>
      <c r="T357" s="1263">
        <f>R357+S357</f>
        <v>600</v>
      </c>
      <c r="U357" s="849">
        <v>0</v>
      </c>
      <c r="V357" s="347">
        <v>600</v>
      </c>
      <c r="W357" s="347">
        <v>0</v>
      </c>
      <c r="X357" s="2">
        <v>0</v>
      </c>
      <c r="Y357" s="2">
        <v>600</v>
      </c>
      <c r="Z357" s="2">
        <v>0</v>
      </c>
      <c r="AA357" s="41">
        <v>0</v>
      </c>
      <c r="AB357" s="347">
        <v>0</v>
      </c>
      <c r="AC357" s="27">
        <v>0</v>
      </c>
      <c r="AD357" s="1231">
        <v>0</v>
      </c>
      <c r="AE357" s="119" t="s">
        <v>484</v>
      </c>
      <c r="AF357" s="4" t="s">
        <v>484</v>
      </c>
      <c r="AG357" s="192" t="s">
        <v>491</v>
      </c>
      <c r="AH357" s="192" t="s">
        <v>491</v>
      </c>
      <c r="AI357" s="106" t="s">
        <v>491</v>
      </c>
    </row>
    <row r="358" spans="1:35" s="756" customFormat="1" ht="15.75" thickBot="1" x14ac:dyDescent="0.3">
      <c r="A358" s="156" t="s">
        <v>544</v>
      </c>
      <c r="B358" s="187" t="s">
        <v>544</v>
      </c>
      <c r="C358" s="54" t="s">
        <v>544</v>
      </c>
      <c r="D358" s="54" t="s">
        <v>544</v>
      </c>
      <c r="E358" s="89" t="s">
        <v>544</v>
      </c>
      <c r="F358" s="89" t="s">
        <v>544</v>
      </c>
      <c r="G358" s="410" t="s">
        <v>544</v>
      </c>
      <c r="H358" s="858" t="s">
        <v>544</v>
      </c>
      <c r="I358" s="858" t="s">
        <v>544</v>
      </c>
      <c r="J358" s="872" t="s">
        <v>544</v>
      </c>
      <c r="K358" s="888" t="s">
        <v>544</v>
      </c>
      <c r="L358" s="858" t="s">
        <v>544</v>
      </c>
      <c r="M358" s="888" t="s">
        <v>544</v>
      </c>
      <c r="N358" s="1971" t="s">
        <v>544</v>
      </c>
      <c r="O358" s="1972" t="s">
        <v>544</v>
      </c>
      <c r="P358" s="877" t="s">
        <v>544</v>
      </c>
      <c r="Q358" s="197" t="s">
        <v>544</v>
      </c>
      <c r="R358" s="1973" t="s">
        <v>544</v>
      </c>
      <c r="S358" s="1974" t="s">
        <v>544</v>
      </c>
      <c r="T358" s="1973" t="s">
        <v>544</v>
      </c>
      <c r="U358" s="1281" t="s">
        <v>544</v>
      </c>
      <c r="V358" s="860" t="s">
        <v>544</v>
      </c>
      <c r="W358" s="860" t="s">
        <v>544</v>
      </c>
      <c r="X358" s="876" t="s">
        <v>544</v>
      </c>
      <c r="Y358" s="878" t="s">
        <v>544</v>
      </c>
      <c r="Z358" s="879" t="s">
        <v>544</v>
      </c>
      <c r="AA358" s="197" t="s">
        <v>544</v>
      </c>
      <c r="AB358" s="877" t="s">
        <v>544</v>
      </c>
      <c r="AC358" s="197" t="s">
        <v>544</v>
      </c>
      <c r="AD358" s="880" t="s">
        <v>544</v>
      </c>
      <c r="AE358" s="878" t="s">
        <v>544</v>
      </c>
      <c r="AF358" s="125" t="s">
        <v>544</v>
      </c>
      <c r="AG358" s="1282" t="s">
        <v>544</v>
      </c>
      <c r="AH358" s="1219" t="s">
        <v>544</v>
      </c>
      <c r="AI358" s="238" t="s">
        <v>544</v>
      </c>
    </row>
    <row r="359" spans="1:35" ht="41.25" customHeight="1" thickBot="1" x14ac:dyDescent="0.3">
      <c r="A359" s="705" t="s">
        <v>484</v>
      </c>
      <c r="B359" s="706" t="s">
        <v>484</v>
      </c>
      <c r="C359" s="139" t="s">
        <v>484</v>
      </c>
      <c r="D359" s="112" t="s">
        <v>484</v>
      </c>
      <c r="E359" s="139" t="s">
        <v>484</v>
      </c>
      <c r="F359" s="139" t="s">
        <v>484</v>
      </c>
      <c r="G359" s="789" t="s">
        <v>556</v>
      </c>
      <c r="H359" s="96">
        <f t="shared" ref="H359:I359" si="27">SUM(H354:H358)</f>
        <v>12793</v>
      </c>
      <c r="I359" s="96">
        <f t="shared" si="27"/>
        <v>6304.0930900000003</v>
      </c>
      <c r="J359" s="96">
        <f>SUM(J354:J358)</f>
        <v>191.64</v>
      </c>
      <c r="K359" s="827">
        <f>SUM(K354:K358)</f>
        <v>792.33</v>
      </c>
      <c r="L359" s="827">
        <f>SUM(L354:L358)</f>
        <v>140.72880000000001</v>
      </c>
      <c r="M359" s="827">
        <f>SUM(M354:M358)</f>
        <v>0</v>
      </c>
      <c r="N359" s="1308">
        <f t="shared" ref="N359:AD359" si="28">SUM(N354:N358)</f>
        <v>0</v>
      </c>
      <c r="O359" s="96">
        <f t="shared" si="28"/>
        <v>191.64</v>
      </c>
      <c r="P359" s="96">
        <f t="shared" si="28"/>
        <v>792.33</v>
      </c>
      <c r="Q359" s="293">
        <f t="shared" si="28"/>
        <v>2973.9369099999999</v>
      </c>
      <c r="R359" s="1272">
        <v>7388.9069099999997</v>
      </c>
      <c r="S359" s="1273">
        <f t="shared" si="28"/>
        <v>-3431</v>
      </c>
      <c r="T359" s="1272">
        <f t="shared" si="28"/>
        <v>3957.9069100000002</v>
      </c>
      <c r="U359" s="854">
        <f t="shared" si="28"/>
        <v>0</v>
      </c>
      <c r="V359" s="855">
        <f t="shared" si="28"/>
        <v>600</v>
      </c>
      <c r="W359" s="855">
        <f t="shared" si="28"/>
        <v>1931</v>
      </c>
      <c r="X359" s="684">
        <f t="shared" si="28"/>
        <v>0</v>
      </c>
      <c r="Y359" s="293">
        <f t="shared" si="28"/>
        <v>2531</v>
      </c>
      <c r="Z359" s="293">
        <f t="shared" si="28"/>
        <v>0</v>
      </c>
      <c r="AA359" s="293">
        <f t="shared" si="28"/>
        <v>0</v>
      </c>
      <c r="AB359" s="855">
        <f t="shared" si="28"/>
        <v>0</v>
      </c>
      <c r="AC359" s="684">
        <f t="shared" si="28"/>
        <v>0</v>
      </c>
      <c r="AD359" s="827">
        <f t="shared" si="28"/>
        <v>0</v>
      </c>
      <c r="AE359" s="120" t="s">
        <v>1493</v>
      </c>
      <c r="AF359" s="97" t="s">
        <v>484</v>
      </c>
      <c r="AG359" s="513" t="s">
        <v>484</v>
      </c>
      <c r="AH359" s="254" t="s">
        <v>484</v>
      </c>
      <c r="AI359" s="102" t="s">
        <v>484</v>
      </c>
    </row>
    <row r="360" spans="1:35" s="474" customFormat="1" ht="51" x14ac:dyDescent="0.25">
      <c r="A360" s="1165" t="s">
        <v>1129</v>
      </c>
      <c r="B360" s="1161" t="s">
        <v>1216</v>
      </c>
      <c r="C360" s="470">
        <v>2020</v>
      </c>
      <c r="D360" s="1745" t="s">
        <v>1220</v>
      </c>
      <c r="E360" s="986" t="s">
        <v>295</v>
      </c>
      <c r="F360" s="986" t="s">
        <v>295</v>
      </c>
      <c r="G360" s="1746" t="s">
        <v>1128</v>
      </c>
      <c r="H360" s="558">
        <v>1362.8</v>
      </c>
      <c r="I360" s="558">
        <v>0</v>
      </c>
      <c r="J360" s="558">
        <v>0</v>
      </c>
      <c r="K360" s="1914">
        <v>0</v>
      </c>
      <c r="L360" s="1480">
        <v>0</v>
      </c>
      <c r="M360" s="1915">
        <v>0</v>
      </c>
      <c r="N360" s="940">
        <v>0</v>
      </c>
      <c r="O360" s="560">
        <v>0</v>
      </c>
      <c r="P360" s="941"/>
      <c r="Q360" s="560">
        <v>622.79999999999995</v>
      </c>
      <c r="R360" s="1747">
        <v>802.32016999999996</v>
      </c>
      <c r="S360" s="1748">
        <v>-179.52017000000001</v>
      </c>
      <c r="T360" s="1747">
        <f>R360+S360</f>
        <v>622.79999999999995</v>
      </c>
      <c r="U360" s="940">
        <v>740</v>
      </c>
      <c r="V360" s="1162">
        <v>0</v>
      </c>
      <c r="W360" s="941">
        <v>0</v>
      </c>
      <c r="X360" s="640">
        <v>0</v>
      </c>
      <c r="Y360" s="640">
        <v>740</v>
      </c>
      <c r="Z360" s="640">
        <v>0</v>
      </c>
      <c r="AA360" s="560">
        <v>0</v>
      </c>
      <c r="AB360" s="941">
        <v>0</v>
      </c>
      <c r="AC360" s="560">
        <v>0</v>
      </c>
      <c r="AD360" s="1481">
        <v>0</v>
      </c>
      <c r="AE360" s="942" t="s">
        <v>1415</v>
      </c>
      <c r="AF360" s="573" t="s">
        <v>43</v>
      </c>
      <c r="AG360" s="1164" t="s">
        <v>491</v>
      </c>
      <c r="AH360" s="1164" t="s">
        <v>514</v>
      </c>
      <c r="AI360" s="1167" t="s">
        <v>514</v>
      </c>
    </row>
    <row r="361" spans="1:35" s="474" customFormat="1" ht="30.75" thickBot="1" x14ac:dyDescent="0.3">
      <c r="A361" s="156" t="s">
        <v>1209</v>
      </c>
      <c r="B361" s="187" t="s">
        <v>494</v>
      </c>
      <c r="C361" s="54">
        <v>2020</v>
      </c>
      <c r="D361" s="1295" t="s">
        <v>1220</v>
      </c>
      <c r="E361" s="89" t="s">
        <v>11</v>
      </c>
      <c r="F361" s="89" t="s">
        <v>11</v>
      </c>
      <c r="G361" s="825" t="s">
        <v>1184</v>
      </c>
      <c r="H361" s="158">
        <v>200</v>
      </c>
      <c r="I361" s="158">
        <v>0</v>
      </c>
      <c r="J361" s="158">
        <v>0</v>
      </c>
      <c r="K361" s="835">
        <v>0</v>
      </c>
      <c r="L361" s="1250">
        <v>0</v>
      </c>
      <c r="M361" s="835">
        <v>0</v>
      </c>
      <c r="N361" s="719">
        <v>0</v>
      </c>
      <c r="O361" s="185">
        <v>0</v>
      </c>
      <c r="P361" s="316">
        <v>0</v>
      </c>
      <c r="Q361" s="185">
        <v>100</v>
      </c>
      <c r="R361" s="1270">
        <v>100</v>
      </c>
      <c r="S361" s="1271">
        <v>0</v>
      </c>
      <c r="T361" s="1270">
        <f>R361+S361</f>
        <v>100</v>
      </c>
      <c r="U361" s="719">
        <v>0</v>
      </c>
      <c r="V361" s="316">
        <v>100</v>
      </c>
      <c r="W361" s="316">
        <v>0</v>
      </c>
      <c r="X361" s="9">
        <v>0</v>
      </c>
      <c r="Y361" s="9">
        <v>100</v>
      </c>
      <c r="Z361" s="9">
        <v>0</v>
      </c>
      <c r="AA361" s="159">
        <v>0</v>
      </c>
      <c r="AB361" s="316">
        <v>0</v>
      </c>
      <c r="AC361" s="185">
        <v>0</v>
      </c>
      <c r="AD361" s="2080">
        <v>0</v>
      </c>
      <c r="AE361" s="168" t="s">
        <v>484</v>
      </c>
      <c r="AF361" s="125" t="s">
        <v>484</v>
      </c>
      <c r="AG361" s="194" t="s">
        <v>491</v>
      </c>
      <c r="AH361" s="128" t="s">
        <v>491</v>
      </c>
      <c r="AI361" s="186" t="s">
        <v>491</v>
      </c>
    </row>
    <row r="362" spans="1:35" s="756" customFormat="1" ht="15.75" thickBot="1" x14ac:dyDescent="0.3">
      <c r="A362" s="156" t="s">
        <v>544</v>
      </c>
      <c r="B362" s="187" t="s">
        <v>544</v>
      </c>
      <c r="C362" s="54" t="s">
        <v>544</v>
      </c>
      <c r="D362" s="54" t="s">
        <v>544</v>
      </c>
      <c r="E362" s="89" t="s">
        <v>544</v>
      </c>
      <c r="F362" s="89" t="s">
        <v>544</v>
      </c>
      <c r="G362" s="410" t="s">
        <v>544</v>
      </c>
      <c r="H362" s="858" t="s">
        <v>544</v>
      </c>
      <c r="I362" s="858" t="s">
        <v>544</v>
      </c>
      <c r="J362" s="872" t="s">
        <v>544</v>
      </c>
      <c r="K362" s="888" t="s">
        <v>544</v>
      </c>
      <c r="L362" s="858" t="s">
        <v>544</v>
      </c>
      <c r="M362" s="888" t="s">
        <v>544</v>
      </c>
      <c r="N362" s="1157" t="s">
        <v>544</v>
      </c>
      <c r="O362" s="868" t="s">
        <v>544</v>
      </c>
      <c r="P362" s="861" t="s">
        <v>544</v>
      </c>
      <c r="Q362" s="859" t="s">
        <v>544</v>
      </c>
      <c r="R362" s="887" t="s">
        <v>544</v>
      </c>
      <c r="S362" s="1975" t="s">
        <v>544</v>
      </c>
      <c r="T362" s="887" t="s">
        <v>544</v>
      </c>
      <c r="U362" s="1281" t="s">
        <v>544</v>
      </c>
      <c r="V362" s="860" t="s">
        <v>544</v>
      </c>
      <c r="W362" s="860" t="s">
        <v>544</v>
      </c>
      <c r="X362" s="876" t="s">
        <v>544</v>
      </c>
      <c r="Y362" s="431" t="s">
        <v>544</v>
      </c>
      <c r="Z362" s="791" t="s">
        <v>544</v>
      </c>
      <c r="AA362" s="885" t="s">
        <v>544</v>
      </c>
      <c r="AB362" s="1317" t="s">
        <v>544</v>
      </c>
      <c r="AC362" s="859" t="s">
        <v>544</v>
      </c>
      <c r="AD362" s="431" t="s">
        <v>544</v>
      </c>
      <c r="AE362" s="791" t="s">
        <v>544</v>
      </c>
      <c r="AF362" s="168" t="s">
        <v>544</v>
      </c>
      <c r="AG362" s="195" t="s">
        <v>544</v>
      </c>
      <c r="AH362" s="195" t="s">
        <v>544</v>
      </c>
      <c r="AI362" s="186" t="s">
        <v>544</v>
      </c>
    </row>
    <row r="363" spans="1:35" ht="41.25" customHeight="1" thickBot="1" x14ac:dyDescent="0.3">
      <c r="A363" s="705" t="s">
        <v>484</v>
      </c>
      <c r="B363" s="706" t="s">
        <v>484</v>
      </c>
      <c r="C363" s="139" t="s">
        <v>484</v>
      </c>
      <c r="D363" s="112" t="s">
        <v>484</v>
      </c>
      <c r="E363" s="139" t="s">
        <v>484</v>
      </c>
      <c r="F363" s="139" t="s">
        <v>484</v>
      </c>
      <c r="G363" s="789" t="s">
        <v>555</v>
      </c>
      <c r="H363" s="96">
        <f t="shared" ref="H363:Q363" si="29">SUM(H360:H362)</f>
        <v>1562.8</v>
      </c>
      <c r="I363" s="96">
        <f t="shared" si="29"/>
        <v>0</v>
      </c>
      <c r="J363" s="96">
        <f>SUM(J360:J362)</f>
        <v>0</v>
      </c>
      <c r="K363" s="827">
        <f>SUM(K360:K362)</f>
        <v>0</v>
      </c>
      <c r="L363" s="827">
        <f>SUM(L360:L362)</f>
        <v>0</v>
      </c>
      <c r="M363" s="827">
        <f>SUM(M360:M362)</f>
        <v>0</v>
      </c>
      <c r="N363" s="1308">
        <f t="shared" si="29"/>
        <v>0</v>
      </c>
      <c r="O363" s="96">
        <f t="shared" si="29"/>
        <v>0</v>
      </c>
      <c r="P363" s="96">
        <f t="shared" si="29"/>
        <v>0</v>
      </c>
      <c r="Q363" s="293">
        <f t="shared" si="29"/>
        <v>722.8</v>
      </c>
      <c r="R363" s="1277">
        <v>902.32016999999996</v>
      </c>
      <c r="S363" s="1278">
        <f t="shared" ref="S363:AD363" si="30">SUM(S360:S362)</f>
        <v>-179.52017000000001</v>
      </c>
      <c r="T363" s="1277">
        <f t="shared" si="30"/>
        <v>722.8</v>
      </c>
      <c r="U363" s="854">
        <f t="shared" si="30"/>
        <v>740</v>
      </c>
      <c r="V363" s="855">
        <f t="shared" si="30"/>
        <v>100</v>
      </c>
      <c r="W363" s="855">
        <f t="shared" si="30"/>
        <v>0</v>
      </c>
      <c r="X363" s="684">
        <f t="shared" si="30"/>
        <v>0</v>
      </c>
      <c r="Y363" s="293">
        <f t="shared" si="30"/>
        <v>840</v>
      </c>
      <c r="Z363" s="293">
        <f t="shared" si="30"/>
        <v>0</v>
      </c>
      <c r="AA363" s="293">
        <f t="shared" si="30"/>
        <v>0</v>
      </c>
      <c r="AB363" s="855">
        <f t="shared" si="30"/>
        <v>0</v>
      </c>
      <c r="AC363" s="684">
        <f t="shared" si="30"/>
        <v>0</v>
      </c>
      <c r="AD363" s="827">
        <f t="shared" si="30"/>
        <v>0</v>
      </c>
      <c r="AE363" s="120" t="s">
        <v>1494</v>
      </c>
      <c r="AF363" s="97" t="s">
        <v>484</v>
      </c>
      <c r="AG363" s="513" t="s">
        <v>484</v>
      </c>
      <c r="AH363" s="254" t="s">
        <v>484</v>
      </c>
      <c r="AI363" s="102" t="s">
        <v>484</v>
      </c>
    </row>
    <row r="364" spans="1:35" ht="45" x14ac:dyDescent="0.25">
      <c r="A364" s="82" t="s">
        <v>564</v>
      </c>
      <c r="B364" s="92" t="s">
        <v>296</v>
      </c>
      <c r="C364" s="10">
        <v>2017</v>
      </c>
      <c r="D364" s="10" t="s">
        <v>618</v>
      </c>
      <c r="E364" s="84" t="s">
        <v>11</v>
      </c>
      <c r="F364" s="83" t="s">
        <v>11</v>
      </c>
      <c r="G364" s="171" t="s">
        <v>852</v>
      </c>
      <c r="H364" s="6">
        <v>8610.36</v>
      </c>
      <c r="I364" s="6">
        <v>3944.6</v>
      </c>
      <c r="J364" s="1">
        <v>0</v>
      </c>
      <c r="K364" s="1307">
        <v>0</v>
      </c>
      <c r="L364" s="839">
        <v>0</v>
      </c>
      <c r="M364" s="839">
        <v>0</v>
      </c>
      <c r="N364" s="1239">
        <v>0</v>
      </c>
      <c r="O364" s="27">
        <v>0</v>
      </c>
      <c r="P364" s="347">
        <v>0</v>
      </c>
      <c r="Q364" s="27">
        <v>1815</v>
      </c>
      <c r="R364" s="1266">
        <v>1814.9999999999991</v>
      </c>
      <c r="S364" s="1823">
        <v>0</v>
      </c>
      <c r="T364" s="1263">
        <f>R364+S364</f>
        <v>1814.9999999999991</v>
      </c>
      <c r="U364" s="849">
        <v>358.16</v>
      </c>
      <c r="V364" s="347">
        <v>375.1</v>
      </c>
      <c r="W364" s="347">
        <v>2117.5</v>
      </c>
      <c r="X364" s="2">
        <v>0</v>
      </c>
      <c r="Y364" s="27">
        <v>2850.76</v>
      </c>
      <c r="Z364" s="261">
        <v>0</v>
      </c>
      <c r="AA364" s="15">
        <v>0</v>
      </c>
      <c r="AB364" s="523">
        <v>0</v>
      </c>
      <c r="AC364" s="99">
        <v>0</v>
      </c>
      <c r="AD364" s="2094">
        <v>0</v>
      </c>
      <c r="AE364" s="1405" t="s">
        <v>484</v>
      </c>
      <c r="AF364" s="119" t="s">
        <v>43</v>
      </c>
      <c r="AG364" s="192" t="s">
        <v>836</v>
      </c>
      <c r="AH364" s="196" t="s">
        <v>514</v>
      </c>
      <c r="AI364" s="107" t="s">
        <v>514</v>
      </c>
    </row>
    <row r="365" spans="1:35" ht="45.75" thickBot="1" x14ac:dyDescent="0.3">
      <c r="A365" s="993" t="s">
        <v>565</v>
      </c>
      <c r="B365" s="945" t="s">
        <v>456</v>
      </c>
      <c r="C365" s="454">
        <v>2018</v>
      </c>
      <c r="D365" s="582" t="s">
        <v>502</v>
      </c>
      <c r="E365" s="1097" t="s">
        <v>11</v>
      </c>
      <c r="F365" s="1097" t="s">
        <v>11</v>
      </c>
      <c r="G365" s="1088" t="s">
        <v>297</v>
      </c>
      <c r="H365" s="551">
        <v>7477.8</v>
      </c>
      <c r="I365" s="551">
        <v>0</v>
      </c>
      <c r="J365" s="543">
        <v>0</v>
      </c>
      <c r="K365" s="1901">
        <v>0</v>
      </c>
      <c r="L365" s="1448">
        <v>0</v>
      </c>
      <c r="M365" s="1459">
        <v>0</v>
      </c>
      <c r="N365" s="919">
        <v>0</v>
      </c>
      <c r="O365" s="547">
        <v>0</v>
      </c>
      <c r="P365" s="920">
        <v>0</v>
      </c>
      <c r="Q365" s="547">
        <v>0</v>
      </c>
      <c r="R365" s="1824">
        <v>3000</v>
      </c>
      <c r="S365" s="1825">
        <v>-3000</v>
      </c>
      <c r="T365" s="1460">
        <f>R365+S365</f>
        <v>0</v>
      </c>
      <c r="U365" s="919">
        <v>3661.46</v>
      </c>
      <c r="V365" s="920">
        <v>3343.23</v>
      </c>
      <c r="W365" s="920">
        <v>0</v>
      </c>
      <c r="X365" s="921">
        <v>473.11</v>
      </c>
      <c r="Y365" s="547">
        <v>7477.8</v>
      </c>
      <c r="Z365" s="578">
        <v>0</v>
      </c>
      <c r="AA365" s="1989">
        <v>0</v>
      </c>
      <c r="AB365" s="1453">
        <v>0</v>
      </c>
      <c r="AC365" s="547">
        <v>0</v>
      </c>
      <c r="AD365" s="1449">
        <v>0</v>
      </c>
      <c r="AE365" s="659" t="s">
        <v>1300</v>
      </c>
      <c r="AF365" s="574" t="s">
        <v>43</v>
      </c>
      <c r="AG365" s="996" t="s">
        <v>836</v>
      </c>
      <c r="AH365" s="1047" t="s">
        <v>514</v>
      </c>
      <c r="AI365" s="1048" t="s">
        <v>514</v>
      </c>
    </row>
    <row r="366" spans="1:35" ht="30" x14ac:dyDescent="0.25">
      <c r="A366" s="111" t="s">
        <v>1208</v>
      </c>
      <c r="B366" s="91" t="s">
        <v>494</v>
      </c>
      <c r="C366" s="53">
        <v>2020</v>
      </c>
      <c r="D366" s="1296" t="s">
        <v>1220</v>
      </c>
      <c r="E366" s="60" t="s">
        <v>11</v>
      </c>
      <c r="F366" s="60" t="s">
        <v>11</v>
      </c>
      <c r="G366" s="150" t="s">
        <v>1184</v>
      </c>
      <c r="H366" s="50">
        <v>1600</v>
      </c>
      <c r="I366" s="50">
        <v>0</v>
      </c>
      <c r="J366" s="50">
        <v>0</v>
      </c>
      <c r="K366" s="1307">
        <v>0</v>
      </c>
      <c r="L366" s="1276">
        <v>0</v>
      </c>
      <c r="M366" s="1276">
        <v>0</v>
      </c>
      <c r="N366" s="1239">
        <v>0</v>
      </c>
      <c r="O366" s="99">
        <v>0</v>
      </c>
      <c r="P366" s="267">
        <v>0</v>
      </c>
      <c r="Q366" s="99">
        <v>800</v>
      </c>
      <c r="R366" s="1266">
        <v>800</v>
      </c>
      <c r="S366" s="1267">
        <v>0</v>
      </c>
      <c r="T366" s="1266">
        <f>R366+S366</f>
        <v>800</v>
      </c>
      <c r="U366" s="1239">
        <v>0</v>
      </c>
      <c r="V366" s="267">
        <v>800</v>
      </c>
      <c r="W366" s="267">
        <v>0</v>
      </c>
      <c r="X366" s="13">
        <v>0</v>
      </c>
      <c r="Y366" s="13">
        <v>800</v>
      </c>
      <c r="Z366" s="13">
        <v>0</v>
      </c>
      <c r="AA366" s="51">
        <v>0</v>
      </c>
      <c r="AB366" s="267">
        <v>0</v>
      </c>
      <c r="AC366" s="99">
        <v>0</v>
      </c>
      <c r="AD366" s="2095">
        <v>0</v>
      </c>
      <c r="AE366" s="123" t="s">
        <v>484</v>
      </c>
      <c r="AF366" s="53" t="s">
        <v>484</v>
      </c>
      <c r="AG366" s="196" t="s">
        <v>491</v>
      </c>
      <c r="AH366" s="196" t="s">
        <v>491</v>
      </c>
      <c r="AI366" s="107" t="s">
        <v>491</v>
      </c>
    </row>
    <row r="367" spans="1:35" s="756" customFormat="1" ht="15.75" thickBot="1" x14ac:dyDescent="0.3">
      <c r="A367" s="156" t="s">
        <v>544</v>
      </c>
      <c r="B367" s="187" t="s">
        <v>544</v>
      </c>
      <c r="C367" s="54" t="s">
        <v>544</v>
      </c>
      <c r="D367" s="54" t="s">
        <v>544</v>
      </c>
      <c r="E367" s="89" t="s">
        <v>544</v>
      </c>
      <c r="F367" s="89" t="s">
        <v>544</v>
      </c>
      <c r="G367" s="410" t="s">
        <v>544</v>
      </c>
      <c r="H367" s="858" t="s">
        <v>544</v>
      </c>
      <c r="I367" s="858" t="s">
        <v>544</v>
      </c>
      <c r="J367" s="872" t="s">
        <v>544</v>
      </c>
      <c r="K367" s="888" t="s">
        <v>544</v>
      </c>
      <c r="L367" s="858" t="s">
        <v>544</v>
      </c>
      <c r="M367" s="888" t="s">
        <v>544</v>
      </c>
      <c r="N367" s="1157" t="s">
        <v>544</v>
      </c>
      <c r="O367" s="868" t="s">
        <v>544</v>
      </c>
      <c r="P367" s="861" t="s">
        <v>544</v>
      </c>
      <c r="Q367" s="859" t="s">
        <v>544</v>
      </c>
      <c r="R367" s="887" t="s">
        <v>544</v>
      </c>
      <c r="S367" s="881" t="s">
        <v>544</v>
      </c>
      <c r="T367" s="887" t="s">
        <v>544</v>
      </c>
      <c r="U367" s="1281" t="s">
        <v>544</v>
      </c>
      <c r="V367" s="860" t="s">
        <v>544</v>
      </c>
      <c r="W367" s="860" t="s">
        <v>544</v>
      </c>
      <c r="X367" s="876" t="s">
        <v>544</v>
      </c>
      <c r="Y367" s="859" t="s">
        <v>544</v>
      </c>
      <c r="Z367" s="431" t="s">
        <v>544</v>
      </c>
      <c r="AA367" s="885" t="s">
        <v>544</v>
      </c>
      <c r="AB367" s="1317" t="s">
        <v>544</v>
      </c>
      <c r="AC367" s="859" t="s">
        <v>544</v>
      </c>
      <c r="AD367" s="431" t="s">
        <v>544</v>
      </c>
      <c r="AE367" s="791" t="s">
        <v>544</v>
      </c>
      <c r="AF367" s="168" t="s">
        <v>544</v>
      </c>
      <c r="AG367" s="195" t="s">
        <v>544</v>
      </c>
      <c r="AH367" s="195" t="s">
        <v>544</v>
      </c>
      <c r="AI367" s="186" t="s">
        <v>544</v>
      </c>
    </row>
    <row r="368" spans="1:35" ht="41.25" customHeight="1" thickBot="1" x14ac:dyDescent="0.3">
      <c r="A368" s="705" t="s">
        <v>484</v>
      </c>
      <c r="B368" s="706" t="s">
        <v>484</v>
      </c>
      <c r="C368" s="139" t="s">
        <v>484</v>
      </c>
      <c r="D368" s="112" t="s">
        <v>484</v>
      </c>
      <c r="E368" s="139" t="s">
        <v>484</v>
      </c>
      <c r="F368" s="139" t="s">
        <v>484</v>
      </c>
      <c r="G368" s="789" t="s">
        <v>554</v>
      </c>
      <c r="H368" s="96">
        <f t="shared" ref="H368:I368" si="31">SUM(H364:H367)</f>
        <v>17688.16</v>
      </c>
      <c r="I368" s="96">
        <f t="shared" si="31"/>
        <v>3944.6</v>
      </c>
      <c r="J368" s="96">
        <f>SUM(J364:J367)</f>
        <v>0</v>
      </c>
      <c r="K368" s="827">
        <f>SUM(K364:K367)</f>
        <v>0</v>
      </c>
      <c r="L368" s="827">
        <f>SUM(L364:L367)</f>
        <v>0</v>
      </c>
      <c r="M368" s="827">
        <f>SUM(M364:M367)</f>
        <v>0</v>
      </c>
      <c r="N368" s="1308">
        <f t="shared" ref="N368:AD368" si="32">SUM(N364:N367)</f>
        <v>0</v>
      </c>
      <c r="O368" s="96">
        <f t="shared" si="32"/>
        <v>0</v>
      </c>
      <c r="P368" s="96">
        <f t="shared" si="32"/>
        <v>0</v>
      </c>
      <c r="Q368" s="293">
        <f t="shared" si="32"/>
        <v>2615</v>
      </c>
      <c r="R368" s="1277">
        <v>5614.9999999999991</v>
      </c>
      <c r="S368" s="1278">
        <f t="shared" si="32"/>
        <v>-3000</v>
      </c>
      <c r="T368" s="1277">
        <f t="shared" si="32"/>
        <v>2614.9999999999991</v>
      </c>
      <c r="U368" s="1279">
        <f t="shared" si="32"/>
        <v>4019.62</v>
      </c>
      <c r="V368" s="1280">
        <f t="shared" si="32"/>
        <v>4518.33</v>
      </c>
      <c r="W368" s="1280">
        <f t="shared" si="32"/>
        <v>2117.5</v>
      </c>
      <c r="X368" s="1246">
        <f t="shared" si="32"/>
        <v>473.11</v>
      </c>
      <c r="Y368" s="293">
        <f t="shared" si="32"/>
        <v>11128.560000000001</v>
      </c>
      <c r="Z368" s="293">
        <f t="shared" si="32"/>
        <v>0</v>
      </c>
      <c r="AA368" s="293">
        <f t="shared" si="32"/>
        <v>0</v>
      </c>
      <c r="AB368" s="855">
        <f t="shared" si="32"/>
        <v>0</v>
      </c>
      <c r="AC368" s="684">
        <f t="shared" si="32"/>
        <v>0</v>
      </c>
      <c r="AD368" s="827">
        <f t="shared" si="32"/>
        <v>0</v>
      </c>
      <c r="AE368" s="120" t="s">
        <v>1495</v>
      </c>
      <c r="AF368" s="97" t="s">
        <v>484</v>
      </c>
      <c r="AG368" s="513" t="s">
        <v>484</v>
      </c>
      <c r="AH368" s="254" t="s">
        <v>484</v>
      </c>
      <c r="AI368" s="102" t="s">
        <v>484</v>
      </c>
    </row>
    <row r="369" spans="1:35" ht="30" x14ac:dyDescent="0.25">
      <c r="A369" s="218" t="s">
        <v>300</v>
      </c>
      <c r="B369" s="213" t="s">
        <v>301</v>
      </c>
      <c r="C369" s="179">
        <v>2017</v>
      </c>
      <c r="D369" s="4" t="s">
        <v>618</v>
      </c>
      <c r="E369" s="219" t="s">
        <v>302</v>
      </c>
      <c r="F369" s="219" t="s">
        <v>302</v>
      </c>
      <c r="G369" s="449" t="s">
        <v>303</v>
      </c>
      <c r="H369" s="215">
        <v>7900</v>
      </c>
      <c r="I369" s="215">
        <v>0</v>
      </c>
      <c r="J369" s="1">
        <v>0</v>
      </c>
      <c r="K369" s="412">
        <v>0</v>
      </c>
      <c r="L369" s="839">
        <v>0</v>
      </c>
      <c r="M369" s="839">
        <v>0</v>
      </c>
      <c r="N369" s="1305">
        <v>0</v>
      </c>
      <c r="O369" s="217">
        <v>0</v>
      </c>
      <c r="P369" s="503">
        <v>0</v>
      </c>
      <c r="Q369" s="217">
        <v>0</v>
      </c>
      <c r="R369" s="1343">
        <v>0</v>
      </c>
      <c r="S369" s="1344">
        <v>0</v>
      </c>
      <c r="T369" s="1343">
        <f t="shared" ref="T369:T420" si="33">R369+S369</f>
        <v>0</v>
      </c>
      <c r="U369" s="849">
        <v>0</v>
      </c>
      <c r="V369" s="347">
        <v>2600</v>
      </c>
      <c r="W369" s="347">
        <v>2600</v>
      </c>
      <c r="X369" s="2">
        <v>2700</v>
      </c>
      <c r="Y369" s="216">
        <v>7900</v>
      </c>
      <c r="Z369" s="216">
        <v>0</v>
      </c>
      <c r="AA369" s="217">
        <v>0</v>
      </c>
      <c r="AB369" s="503">
        <v>0</v>
      </c>
      <c r="AC369" s="217">
        <v>0</v>
      </c>
      <c r="AD369" s="400">
        <v>0</v>
      </c>
      <c r="AE369" s="221" t="s">
        <v>484</v>
      </c>
      <c r="AF369" s="222" t="s">
        <v>13</v>
      </c>
      <c r="AG369" s="223" t="s">
        <v>208</v>
      </c>
      <c r="AH369" s="223" t="s">
        <v>513</v>
      </c>
      <c r="AI369" s="169" t="s">
        <v>513</v>
      </c>
    </row>
    <row r="370" spans="1:35" s="388" customFormat="1" ht="25.5" x14ac:dyDescent="0.25">
      <c r="A370" s="241" t="s">
        <v>304</v>
      </c>
      <c r="B370" s="274" t="s">
        <v>305</v>
      </c>
      <c r="C370" s="275">
        <v>2017</v>
      </c>
      <c r="D370" s="73" t="s">
        <v>618</v>
      </c>
      <c r="E370" s="243" t="s">
        <v>598</v>
      </c>
      <c r="F370" s="243" t="s">
        <v>598</v>
      </c>
      <c r="G370" s="149" t="s">
        <v>306</v>
      </c>
      <c r="H370" s="276">
        <v>3251.8440999999998</v>
      </c>
      <c r="I370" s="276">
        <v>0</v>
      </c>
      <c r="J370" s="75">
        <v>2700</v>
      </c>
      <c r="K370" s="1994">
        <v>0</v>
      </c>
      <c r="L370" s="1259">
        <v>0</v>
      </c>
      <c r="M370" s="1259">
        <v>0</v>
      </c>
      <c r="N370" s="714">
        <v>0</v>
      </c>
      <c r="O370" s="277">
        <v>2700</v>
      </c>
      <c r="P370" s="506">
        <v>0</v>
      </c>
      <c r="Q370" s="277">
        <v>0</v>
      </c>
      <c r="R370" s="1347">
        <v>2700</v>
      </c>
      <c r="S370" s="1348">
        <v>0</v>
      </c>
      <c r="T370" s="1347">
        <f t="shared" si="33"/>
        <v>2700</v>
      </c>
      <c r="U370" s="718">
        <v>0</v>
      </c>
      <c r="V370" s="535">
        <v>0</v>
      </c>
      <c r="W370" s="535">
        <v>0</v>
      </c>
      <c r="X370" s="40">
        <v>0</v>
      </c>
      <c r="Y370" s="278">
        <v>0</v>
      </c>
      <c r="Z370" s="278">
        <v>0</v>
      </c>
      <c r="AA370" s="277">
        <v>551.84410000000003</v>
      </c>
      <c r="AB370" s="506">
        <v>0</v>
      </c>
      <c r="AC370" s="277">
        <v>0</v>
      </c>
      <c r="AD370" s="1696">
        <v>0</v>
      </c>
      <c r="AE370" s="898" t="s">
        <v>484</v>
      </c>
      <c r="AF370" s="242" t="s">
        <v>535</v>
      </c>
      <c r="AG370" s="257" t="s">
        <v>455</v>
      </c>
      <c r="AH370" s="257" t="s">
        <v>514</v>
      </c>
      <c r="AI370" s="170" t="s">
        <v>514</v>
      </c>
    </row>
    <row r="371" spans="1:35" ht="25.5" x14ac:dyDescent="0.25">
      <c r="A371" s="218" t="s">
        <v>308</v>
      </c>
      <c r="B371" s="213" t="s">
        <v>309</v>
      </c>
      <c r="C371" s="179">
        <v>2017</v>
      </c>
      <c r="D371" s="4" t="s">
        <v>617</v>
      </c>
      <c r="E371" s="214" t="s">
        <v>599</v>
      </c>
      <c r="F371" s="214" t="s">
        <v>599</v>
      </c>
      <c r="G371" s="448" t="s">
        <v>310</v>
      </c>
      <c r="H371" s="215">
        <v>14000</v>
      </c>
      <c r="I371" s="215">
        <v>0</v>
      </c>
      <c r="J371" s="1">
        <v>0</v>
      </c>
      <c r="K371" s="412">
        <v>0</v>
      </c>
      <c r="L371" s="839">
        <v>0</v>
      </c>
      <c r="M371" s="839">
        <v>0</v>
      </c>
      <c r="N371" s="1305">
        <v>0</v>
      </c>
      <c r="O371" s="217">
        <v>0</v>
      </c>
      <c r="P371" s="503">
        <v>0</v>
      </c>
      <c r="Q371" s="217">
        <v>0</v>
      </c>
      <c r="R371" s="1345">
        <v>0</v>
      </c>
      <c r="S371" s="1346">
        <v>0</v>
      </c>
      <c r="T371" s="1345">
        <f t="shared" si="33"/>
        <v>0</v>
      </c>
      <c r="U371" s="849">
        <v>0</v>
      </c>
      <c r="V371" s="347">
        <v>0</v>
      </c>
      <c r="W371" s="347">
        <v>7000</v>
      </c>
      <c r="X371" s="2">
        <v>7000</v>
      </c>
      <c r="Y371" s="216">
        <v>14000</v>
      </c>
      <c r="Z371" s="216">
        <v>0</v>
      </c>
      <c r="AA371" s="217">
        <v>0</v>
      </c>
      <c r="AB371" s="503">
        <v>0</v>
      </c>
      <c r="AC371" s="217">
        <v>0</v>
      </c>
      <c r="AD371" s="400">
        <v>0</v>
      </c>
      <c r="AE371" s="221" t="s">
        <v>1131</v>
      </c>
      <c r="AF371" s="222" t="s">
        <v>19</v>
      </c>
      <c r="AG371" s="223" t="s">
        <v>732</v>
      </c>
      <c r="AH371" s="223" t="s">
        <v>513</v>
      </c>
      <c r="AI371" s="169" t="s">
        <v>513</v>
      </c>
    </row>
    <row r="372" spans="1:35" ht="38.25" x14ac:dyDescent="0.25">
      <c r="A372" s="899" t="s">
        <v>312</v>
      </c>
      <c r="B372" s="900" t="s">
        <v>313</v>
      </c>
      <c r="C372" s="452">
        <v>2017</v>
      </c>
      <c r="D372" s="453" t="s">
        <v>617</v>
      </c>
      <c r="E372" s="901" t="s">
        <v>592</v>
      </c>
      <c r="F372" s="901" t="s">
        <v>592</v>
      </c>
      <c r="G372" s="902" t="s">
        <v>1132</v>
      </c>
      <c r="H372" s="903">
        <v>2500</v>
      </c>
      <c r="I372" s="903">
        <v>296.45</v>
      </c>
      <c r="J372" s="543">
        <v>0</v>
      </c>
      <c r="K372" s="1901">
        <v>0</v>
      </c>
      <c r="L372" s="1448">
        <v>0</v>
      </c>
      <c r="M372" s="1448">
        <v>0</v>
      </c>
      <c r="N372" s="1535">
        <v>0</v>
      </c>
      <c r="O372" s="904">
        <v>0</v>
      </c>
      <c r="P372" s="905">
        <v>0</v>
      </c>
      <c r="Q372" s="904">
        <v>1542.4849999999999</v>
      </c>
      <c r="R372" s="1494">
        <v>2203.5500000000002</v>
      </c>
      <c r="S372" s="1495">
        <v>-661.06500000000005</v>
      </c>
      <c r="T372" s="1494">
        <f t="shared" si="33"/>
        <v>1542.4850000000001</v>
      </c>
      <c r="U372" s="906">
        <v>661.06500000000005</v>
      </c>
      <c r="V372" s="907">
        <v>0</v>
      </c>
      <c r="W372" s="907">
        <v>0</v>
      </c>
      <c r="X372" s="580">
        <v>0</v>
      </c>
      <c r="Y372" s="908">
        <v>661.06500000000005</v>
      </c>
      <c r="Z372" s="908">
        <v>0</v>
      </c>
      <c r="AA372" s="904">
        <v>0</v>
      </c>
      <c r="AB372" s="905">
        <v>0</v>
      </c>
      <c r="AC372" s="904">
        <v>0</v>
      </c>
      <c r="AD372" s="2086">
        <v>0</v>
      </c>
      <c r="AE372" s="574" t="s">
        <v>1305</v>
      </c>
      <c r="AF372" s="599" t="s">
        <v>19</v>
      </c>
      <c r="AG372" s="909" t="s">
        <v>208</v>
      </c>
      <c r="AH372" s="909" t="s">
        <v>513</v>
      </c>
      <c r="AI372" s="910" t="s">
        <v>513</v>
      </c>
    </row>
    <row r="373" spans="1:35" s="388" customFormat="1" ht="30" x14ac:dyDescent="0.25">
      <c r="A373" s="241" t="s">
        <v>315</v>
      </c>
      <c r="B373" s="274" t="s">
        <v>421</v>
      </c>
      <c r="C373" s="275">
        <v>2017</v>
      </c>
      <c r="D373" s="73" t="s">
        <v>617</v>
      </c>
      <c r="E373" s="243" t="s">
        <v>600</v>
      </c>
      <c r="F373" s="243" t="s">
        <v>600</v>
      </c>
      <c r="G373" s="149" t="s">
        <v>316</v>
      </c>
      <c r="H373" s="276">
        <v>10000</v>
      </c>
      <c r="I373" s="276">
        <v>0</v>
      </c>
      <c r="J373" s="75">
        <v>6601.9639999999999</v>
      </c>
      <c r="K373" s="1994">
        <v>3398.0360000000001</v>
      </c>
      <c r="L373" s="1259">
        <v>0</v>
      </c>
      <c r="M373" s="1259">
        <v>0</v>
      </c>
      <c r="N373" s="714">
        <v>495.78800000000001</v>
      </c>
      <c r="O373" s="277">
        <f>6405.176-299</f>
        <v>6106.1760000000004</v>
      </c>
      <c r="P373" s="506">
        <f>5000-1900.964+299</f>
        <v>3398.0360000000001</v>
      </c>
      <c r="Q373" s="277">
        <v>0</v>
      </c>
      <c r="R373" s="1347">
        <v>10000</v>
      </c>
      <c r="S373" s="1348">
        <v>0</v>
      </c>
      <c r="T373" s="1347">
        <f t="shared" si="33"/>
        <v>10000</v>
      </c>
      <c r="U373" s="718">
        <v>0</v>
      </c>
      <c r="V373" s="535">
        <v>0</v>
      </c>
      <c r="W373" s="535">
        <v>0</v>
      </c>
      <c r="X373" s="40">
        <v>0</v>
      </c>
      <c r="Y373" s="278">
        <v>0</v>
      </c>
      <c r="Z373" s="278">
        <v>0</v>
      </c>
      <c r="AA373" s="277">
        <v>0</v>
      </c>
      <c r="AB373" s="506">
        <v>0</v>
      </c>
      <c r="AC373" s="277">
        <v>0</v>
      </c>
      <c r="AD373" s="1696">
        <v>0</v>
      </c>
      <c r="AE373" s="898" t="s">
        <v>484</v>
      </c>
      <c r="AF373" s="242" t="s">
        <v>535</v>
      </c>
      <c r="AG373" s="257" t="s">
        <v>472</v>
      </c>
      <c r="AH373" s="257" t="s">
        <v>514</v>
      </c>
      <c r="AI373" s="170" t="s">
        <v>514</v>
      </c>
    </row>
    <row r="374" spans="1:35" ht="30" x14ac:dyDescent="0.25">
      <c r="A374" s="218" t="s">
        <v>319</v>
      </c>
      <c r="B374" s="1299" t="s">
        <v>422</v>
      </c>
      <c r="C374" s="222">
        <v>2018</v>
      </c>
      <c r="D374" s="4" t="s">
        <v>502</v>
      </c>
      <c r="E374" s="224" t="s">
        <v>307</v>
      </c>
      <c r="F374" s="214" t="s">
        <v>307</v>
      </c>
      <c r="G374" s="448" t="s">
        <v>320</v>
      </c>
      <c r="H374" s="215">
        <v>3500</v>
      </c>
      <c r="I374" s="215">
        <v>0</v>
      </c>
      <c r="J374" s="1">
        <v>0</v>
      </c>
      <c r="K374" s="412">
        <v>0</v>
      </c>
      <c r="L374" s="839">
        <v>0</v>
      </c>
      <c r="M374" s="839">
        <v>0</v>
      </c>
      <c r="N374" s="1305">
        <v>0</v>
      </c>
      <c r="O374" s="217">
        <v>0</v>
      </c>
      <c r="P374" s="503">
        <v>0</v>
      </c>
      <c r="Q374" s="217">
        <v>237</v>
      </c>
      <c r="R374" s="1345">
        <v>237</v>
      </c>
      <c r="S374" s="1346">
        <v>0</v>
      </c>
      <c r="T374" s="1345">
        <f t="shared" si="33"/>
        <v>237</v>
      </c>
      <c r="U374" s="849">
        <v>0</v>
      </c>
      <c r="V374" s="347">
        <v>0</v>
      </c>
      <c r="W374" s="347">
        <v>1500</v>
      </c>
      <c r="X374" s="2">
        <v>1763</v>
      </c>
      <c r="Y374" s="216">
        <v>3263</v>
      </c>
      <c r="Z374" s="216">
        <v>0</v>
      </c>
      <c r="AA374" s="217">
        <v>0</v>
      </c>
      <c r="AB374" s="503">
        <v>0</v>
      </c>
      <c r="AC374" s="217">
        <v>0</v>
      </c>
      <c r="AD374" s="400">
        <v>0</v>
      </c>
      <c r="AE374" s="977" t="s">
        <v>484</v>
      </c>
      <c r="AF374" s="222" t="s">
        <v>19</v>
      </c>
      <c r="AG374" s="223" t="s">
        <v>732</v>
      </c>
      <c r="AH374" s="223" t="s">
        <v>513</v>
      </c>
      <c r="AI374" s="169" t="s">
        <v>513</v>
      </c>
    </row>
    <row r="375" spans="1:35" s="385" customFormat="1" ht="30" x14ac:dyDescent="0.25">
      <c r="A375" s="615" t="s">
        <v>321</v>
      </c>
      <c r="B375" s="739" t="s">
        <v>423</v>
      </c>
      <c r="C375" s="374">
        <v>2018</v>
      </c>
      <c r="D375" s="520" t="s">
        <v>502</v>
      </c>
      <c r="E375" s="762" t="s">
        <v>11</v>
      </c>
      <c r="F375" s="1489" t="s">
        <v>11</v>
      </c>
      <c r="G375" s="1490" t="s">
        <v>850</v>
      </c>
      <c r="H375" s="683">
        <v>4707.2352000000001</v>
      </c>
      <c r="I375" s="683">
        <v>0</v>
      </c>
      <c r="J375" s="540">
        <v>0</v>
      </c>
      <c r="K375" s="1994">
        <v>0</v>
      </c>
      <c r="L375" s="2001">
        <v>4707.2352000000001</v>
      </c>
      <c r="M375" s="2001">
        <v>0</v>
      </c>
      <c r="N375" s="715">
        <v>0</v>
      </c>
      <c r="O375" s="610">
        <v>0</v>
      </c>
      <c r="P375" s="602">
        <v>0</v>
      </c>
      <c r="Q375" s="610">
        <v>4707.2352000000001</v>
      </c>
      <c r="R375" s="1491">
        <v>4710</v>
      </c>
      <c r="S375" s="1492">
        <v>-2.7648000000000001</v>
      </c>
      <c r="T375" s="1491">
        <f t="shared" si="33"/>
        <v>4707.2352000000001</v>
      </c>
      <c r="U375" s="713">
        <v>0</v>
      </c>
      <c r="V375" s="533">
        <v>0</v>
      </c>
      <c r="W375" s="533">
        <v>0</v>
      </c>
      <c r="X375" s="534">
        <v>0</v>
      </c>
      <c r="Y375" s="603">
        <v>0</v>
      </c>
      <c r="Z375" s="604">
        <v>0</v>
      </c>
      <c r="AA375" s="601">
        <v>0</v>
      </c>
      <c r="AB375" s="614">
        <v>0</v>
      </c>
      <c r="AC375" s="610">
        <v>0</v>
      </c>
      <c r="AD375" s="624">
        <v>0</v>
      </c>
      <c r="AE375" s="1516" t="s">
        <v>1473</v>
      </c>
      <c r="AF375" s="605" t="s">
        <v>535</v>
      </c>
      <c r="AG375" s="612" t="s">
        <v>472</v>
      </c>
      <c r="AH375" s="612" t="s">
        <v>514</v>
      </c>
      <c r="AI375" s="542" t="s">
        <v>514</v>
      </c>
    </row>
    <row r="376" spans="1:35" s="385" customFormat="1" ht="26.25" thickBot="1" x14ac:dyDescent="0.3">
      <c r="A376" s="361" t="s">
        <v>323</v>
      </c>
      <c r="B376" s="362" t="s">
        <v>424</v>
      </c>
      <c r="C376" s="363">
        <v>2018</v>
      </c>
      <c r="D376" s="167" t="s">
        <v>171</v>
      </c>
      <c r="E376" s="364" t="s">
        <v>324</v>
      </c>
      <c r="F376" s="364" t="s">
        <v>324</v>
      </c>
      <c r="G376" s="173" t="s">
        <v>851</v>
      </c>
      <c r="H376" s="365">
        <v>1072.7154</v>
      </c>
      <c r="I376" s="365">
        <v>0</v>
      </c>
      <c r="J376" s="295">
        <v>1072.7149999999999</v>
      </c>
      <c r="K376" s="1284">
        <v>0</v>
      </c>
      <c r="L376" s="1260">
        <v>0</v>
      </c>
      <c r="M376" s="1260">
        <v>0</v>
      </c>
      <c r="N376" s="720">
        <v>1072.7149999999999</v>
      </c>
      <c r="O376" s="366">
        <v>4.0000000000000002E-4</v>
      </c>
      <c r="P376" s="366">
        <v>0</v>
      </c>
      <c r="Q376" s="500">
        <v>0</v>
      </c>
      <c r="R376" s="2002">
        <v>1072.7154</v>
      </c>
      <c r="S376" s="2003">
        <v>0</v>
      </c>
      <c r="T376" s="2002">
        <f t="shared" si="33"/>
        <v>1072.7154</v>
      </c>
      <c r="U376" s="322">
        <v>0</v>
      </c>
      <c r="V376" s="308">
        <v>0</v>
      </c>
      <c r="W376" s="308">
        <v>0</v>
      </c>
      <c r="X376" s="176">
        <v>0</v>
      </c>
      <c r="Y376" s="368">
        <v>0</v>
      </c>
      <c r="Z376" s="368">
        <v>0</v>
      </c>
      <c r="AA376" s="500">
        <v>0</v>
      </c>
      <c r="AB376" s="507">
        <v>0</v>
      </c>
      <c r="AC376" s="500">
        <v>0</v>
      </c>
      <c r="AD376" s="613">
        <v>0</v>
      </c>
      <c r="AE376" s="1886" t="s">
        <v>484</v>
      </c>
      <c r="AF376" s="363" t="s">
        <v>535</v>
      </c>
      <c r="AG376" s="370" t="s">
        <v>608</v>
      </c>
      <c r="AH376" s="370" t="s">
        <v>514</v>
      </c>
      <c r="AI376" s="369" t="s">
        <v>514</v>
      </c>
    </row>
    <row r="377" spans="1:35" ht="30" x14ac:dyDescent="0.25">
      <c r="A377" s="212" t="s">
        <v>457</v>
      </c>
      <c r="B377" s="212" t="s">
        <v>897</v>
      </c>
      <c r="C377" s="179">
        <v>2019</v>
      </c>
      <c r="D377" s="4" t="s">
        <v>498</v>
      </c>
      <c r="E377" s="214" t="s">
        <v>311</v>
      </c>
      <c r="F377" s="214" t="s">
        <v>311</v>
      </c>
      <c r="G377" s="448" t="s">
        <v>425</v>
      </c>
      <c r="H377" s="215">
        <v>6000</v>
      </c>
      <c r="I377" s="215">
        <v>4000</v>
      </c>
      <c r="J377" s="215">
        <v>1901.7642999999998</v>
      </c>
      <c r="K377" s="412">
        <v>0</v>
      </c>
      <c r="L377" s="1261">
        <v>0</v>
      </c>
      <c r="M377" s="1261">
        <v>98.235699999999994</v>
      </c>
      <c r="N377" s="1305">
        <f>912.5968+57.98925</f>
        <v>970.58605</v>
      </c>
      <c r="O377" s="217">
        <v>931.17825000000005</v>
      </c>
      <c r="P377" s="503">
        <v>0</v>
      </c>
      <c r="Q377" s="217">
        <v>98.235699999999994</v>
      </c>
      <c r="R377" s="1343">
        <v>2000</v>
      </c>
      <c r="S377" s="1344">
        <v>0</v>
      </c>
      <c r="T377" s="1343">
        <f t="shared" si="33"/>
        <v>2000</v>
      </c>
      <c r="U377" s="849">
        <v>0</v>
      </c>
      <c r="V377" s="347">
        <v>0</v>
      </c>
      <c r="W377" s="347">
        <v>0</v>
      </c>
      <c r="X377" s="2">
        <v>0</v>
      </c>
      <c r="Y377" s="401">
        <v>0</v>
      </c>
      <c r="Z377" s="401">
        <v>0</v>
      </c>
      <c r="AA377" s="217">
        <v>0</v>
      </c>
      <c r="AB377" s="503">
        <v>0</v>
      </c>
      <c r="AC377" s="217">
        <v>0</v>
      </c>
      <c r="AD377" s="400">
        <v>0</v>
      </c>
      <c r="AE377" s="119" t="s">
        <v>484</v>
      </c>
      <c r="AF377" s="4" t="s">
        <v>1171</v>
      </c>
      <c r="AG377" s="1211" t="s">
        <v>732</v>
      </c>
      <c r="AH377" s="491" t="s">
        <v>514</v>
      </c>
      <c r="AI377" s="787" t="s">
        <v>514</v>
      </c>
    </row>
    <row r="378" spans="1:35" ht="25.5" x14ac:dyDescent="0.25">
      <c r="A378" s="913" t="s">
        <v>458</v>
      </c>
      <c r="B378" s="899" t="s">
        <v>1172</v>
      </c>
      <c r="C378" s="599">
        <v>2019</v>
      </c>
      <c r="D378" s="454" t="s">
        <v>498</v>
      </c>
      <c r="E378" s="914" t="s">
        <v>594</v>
      </c>
      <c r="F378" s="914" t="s">
        <v>594</v>
      </c>
      <c r="G378" s="915" t="s">
        <v>426</v>
      </c>
      <c r="H378" s="916">
        <v>2200</v>
      </c>
      <c r="I378" s="916">
        <v>0</v>
      </c>
      <c r="J378" s="543">
        <v>164.56</v>
      </c>
      <c r="K378" s="1901">
        <v>0</v>
      </c>
      <c r="L378" s="1448">
        <v>652.46834999999999</v>
      </c>
      <c r="M378" s="1448">
        <v>0</v>
      </c>
      <c r="N378" s="1493">
        <v>0</v>
      </c>
      <c r="O378" s="608">
        <v>164.56</v>
      </c>
      <c r="P378" s="918">
        <f>200-164.56-35.44</f>
        <v>0</v>
      </c>
      <c r="Q378" s="608">
        <f>1600+35.44</f>
        <v>1635.44</v>
      </c>
      <c r="R378" s="1494">
        <v>2200</v>
      </c>
      <c r="S378" s="1495">
        <v>-400</v>
      </c>
      <c r="T378" s="1494">
        <f t="shared" si="33"/>
        <v>1800</v>
      </c>
      <c r="U378" s="919">
        <v>400</v>
      </c>
      <c r="V378" s="920">
        <v>0</v>
      </c>
      <c r="W378" s="920">
        <v>0</v>
      </c>
      <c r="X378" s="921">
        <v>0</v>
      </c>
      <c r="Y378" s="922">
        <v>400</v>
      </c>
      <c r="Z378" s="922">
        <v>0</v>
      </c>
      <c r="AA378" s="608">
        <v>0</v>
      </c>
      <c r="AB378" s="918">
        <v>0</v>
      </c>
      <c r="AC378" s="608">
        <v>0</v>
      </c>
      <c r="AD378" s="947">
        <v>0</v>
      </c>
      <c r="AE378" s="359" t="s">
        <v>1306</v>
      </c>
      <c r="AF378" s="599" t="s">
        <v>43</v>
      </c>
      <c r="AG378" s="924" t="s">
        <v>208</v>
      </c>
      <c r="AH378" s="909" t="s">
        <v>514</v>
      </c>
      <c r="AI378" s="910" t="s">
        <v>514</v>
      </c>
    </row>
    <row r="379" spans="1:35" s="678" customFormat="1" ht="25.5" x14ac:dyDescent="0.25">
      <c r="A379" s="240" t="s">
        <v>459</v>
      </c>
      <c r="B379" s="241" t="s">
        <v>886</v>
      </c>
      <c r="C379" s="242">
        <v>2019</v>
      </c>
      <c r="D379" s="66" t="s">
        <v>498</v>
      </c>
      <c r="E379" s="243" t="s">
        <v>594</v>
      </c>
      <c r="F379" s="243" t="s">
        <v>594</v>
      </c>
      <c r="G379" s="149" t="s">
        <v>427</v>
      </c>
      <c r="H379" s="239">
        <v>3239.9979899999998</v>
      </c>
      <c r="I379" s="239">
        <v>2114.7899600000001</v>
      </c>
      <c r="J379" s="75">
        <v>1118.9930300000001</v>
      </c>
      <c r="K379" s="1994">
        <v>6.2149999999999999</v>
      </c>
      <c r="L379" s="1259">
        <v>0</v>
      </c>
      <c r="M379" s="1259">
        <v>0</v>
      </c>
      <c r="N379" s="268">
        <f>1125.20803-6.215</f>
        <v>1118.9930300000001</v>
      </c>
      <c r="O379" s="244">
        <v>0</v>
      </c>
      <c r="P379" s="236">
        <v>6.2149999999999999</v>
      </c>
      <c r="Q379" s="244">
        <v>0</v>
      </c>
      <c r="R379" s="1347">
        <v>1125.20803</v>
      </c>
      <c r="S379" s="1348">
        <v>0</v>
      </c>
      <c r="T379" s="1347">
        <f t="shared" si="33"/>
        <v>1125.20803</v>
      </c>
      <c r="U379" s="269">
        <v>0</v>
      </c>
      <c r="V379" s="207">
        <v>0</v>
      </c>
      <c r="W379" s="207">
        <v>0</v>
      </c>
      <c r="X379" s="22">
        <v>0</v>
      </c>
      <c r="Y379" s="264">
        <v>0</v>
      </c>
      <c r="Z379" s="264">
        <v>0</v>
      </c>
      <c r="AA379" s="244">
        <v>0</v>
      </c>
      <c r="AB379" s="236">
        <v>0</v>
      </c>
      <c r="AC379" s="244">
        <v>0</v>
      </c>
      <c r="AD379" s="262">
        <v>0</v>
      </c>
      <c r="AE379" s="113" t="s">
        <v>484</v>
      </c>
      <c r="AF379" s="73" t="s">
        <v>535</v>
      </c>
      <c r="AG379" s="247" t="s">
        <v>523</v>
      </c>
      <c r="AH379" s="257" t="s">
        <v>514</v>
      </c>
      <c r="AI379" s="170" t="s">
        <v>514</v>
      </c>
    </row>
    <row r="380" spans="1:35" s="1912" customFormat="1" ht="25.5" x14ac:dyDescent="0.25">
      <c r="A380" s="240" t="s">
        <v>460</v>
      </c>
      <c r="B380" s="241" t="s">
        <v>1004</v>
      </c>
      <c r="C380" s="242">
        <v>2019</v>
      </c>
      <c r="D380" s="66" t="s">
        <v>498</v>
      </c>
      <c r="E380" s="243" t="s">
        <v>298</v>
      </c>
      <c r="F380" s="243" t="s">
        <v>298</v>
      </c>
      <c r="G380" s="149" t="s">
        <v>428</v>
      </c>
      <c r="H380" s="239">
        <v>665.49900000000002</v>
      </c>
      <c r="I380" s="239">
        <v>0</v>
      </c>
      <c r="J380" s="75">
        <v>665.49900000000002</v>
      </c>
      <c r="K380" s="1994">
        <v>0</v>
      </c>
      <c r="L380" s="1259">
        <v>0</v>
      </c>
      <c r="M380" s="1259">
        <v>0</v>
      </c>
      <c r="N380" s="268">
        <v>665.49900000000002</v>
      </c>
      <c r="O380" s="244">
        <v>0</v>
      </c>
      <c r="P380" s="236">
        <v>0</v>
      </c>
      <c r="Q380" s="244">
        <v>0</v>
      </c>
      <c r="R380" s="1347">
        <v>665.49900000000002</v>
      </c>
      <c r="S380" s="1348">
        <v>0</v>
      </c>
      <c r="T380" s="1347">
        <f t="shared" si="33"/>
        <v>665.49900000000002</v>
      </c>
      <c r="U380" s="269">
        <v>0</v>
      </c>
      <c r="V380" s="207">
        <v>0</v>
      </c>
      <c r="W380" s="207">
        <v>0</v>
      </c>
      <c r="X380" s="22">
        <v>0</v>
      </c>
      <c r="Y380" s="264">
        <v>0</v>
      </c>
      <c r="Z380" s="264">
        <v>0</v>
      </c>
      <c r="AA380" s="244">
        <v>0</v>
      </c>
      <c r="AB380" s="236">
        <v>0</v>
      </c>
      <c r="AC380" s="244">
        <v>0</v>
      </c>
      <c r="AD380" s="262">
        <v>0</v>
      </c>
      <c r="AE380" s="1887" t="s">
        <v>484</v>
      </c>
      <c r="AF380" s="242" t="s">
        <v>535</v>
      </c>
      <c r="AG380" s="247" t="s">
        <v>543</v>
      </c>
      <c r="AH380" s="257" t="s">
        <v>514</v>
      </c>
      <c r="AI380" s="170" t="s">
        <v>514</v>
      </c>
    </row>
    <row r="381" spans="1:35" s="687" customFormat="1" ht="38.25" x14ac:dyDescent="0.25">
      <c r="A381" s="1349" t="s">
        <v>461</v>
      </c>
      <c r="B381" s="1350" t="s">
        <v>986</v>
      </c>
      <c r="C381" s="694">
        <v>2019</v>
      </c>
      <c r="D381" s="373" t="s">
        <v>498</v>
      </c>
      <c r="E381" s="693" t="s">
        <v>298</v>
      </c>
      <c r="F381" s="693" t="s">
        <v>298</v>
      </c>
      <c r="G381" s="1351" t="s">
        <v>429</v>
      </c>
      <c r="H381" s="695">
        <v>12754.683000000001</v>
      </c>
      <c r="I381" s="695">
        <v>1899.3955100000001</v>
      </c>
      <c r="J381" s="677">
        <v>6382.6645799999997</v>
      </c>
      <c r="K381" s="1379">
        <v>2866.1331599999999</v>
      </c>
      <c r="L381" s="2004">
        <v>261.15875</v>
      </c>
      <c r="M381" s="2004">
        <v>0</v>
      </c>
      <c r="N381" s="1366">
        <f>5400-1899.39551-1114.52201</f>
        <v>2386.08248</v>
      </c>
      <c r="O381" s="696">
        <f>2837.60754+1158.97456</f>
        <v>3996.5821000000001</v>
      </c>
      <c r="P381" s="1367">
        <f>1500+2786.26647-1158.97454-261.15877</f>
        <v>2866.1331600000003</v>
      </c>
      <c r="Q381" s="1352">
        <v>261.15877</v>
      </c>
      <c r="R381" s="1354">
        <v>9509.9564900000005</v>
      </c>
      <c r="S381" s="1353">
        <v>2.0000000000000002E-5</v>
      </c>
      <c r="T381" s="1354">
        <f t="shared" si="33"/>
        <v>9509.95651</v>
      </c>
      <c r="U381" s="1355">
        <v>0</v>
      </c>
      <c r="V381" s="1356">
        <v>0</v>
      </c>
      <c r="W381" s="1356">
        <v>0</v>
      </c>
      <c r="X381" s="645">
        <v>0</v>
      </c>
      <c r="Y381" s="1357">
        <v>0</v>
      </c>
      <c r="Z381" s="1358">
        <v>0</v>
      </c>
      <c r="AA381" s="1352">
        <v>1345.33098</v>
      </c>
      <c r="AB381" s="1367">
        <v>0</v>
      </c>
      <c r="AC381" s="1352">
        <v>0</v>
      </c>
      <c r="AD381" s="1368">
        <v>0</v>
      </c>
      <c r="AE381" s="1888" t="s">
        <v>1279</v>
      </c>
      <c r="AF381" s="694" t="s">
        <v>535</v>
      </c>
      <c r="AG381" s="1359" t="s">
        <v>540</v>
      </c>
      <c r="AH381" s="1360" t="s">
        <v>514</v>
      </c>
      <c r="AI381" s="1361" t="s">
        <v>514</v>
      </c>
    </row>
    <row r="382" spans="1:35" ht="38.25" x14ac:dyDescent="0.25">
      <c r="A382" s="1496" t="s">
        <v>462</v>
      </c>
      <c r="B382" s="1497" t="s">
        <v>1225</v>
      </c>
      <c r="C382" s="1498">
        <v>2019</v>
      </c>
      <c r="D382" s="571" t="s">
        <v>498</v>
      </c>
      <c r="E382" s="1499" t="s">
        <v>299</v>
      </c>
      <c r="F382" s="1499" t="s">
        <v>299</v>
      </c>
      <c r="G382" s="1500" t="s">
        <v>1133</v>
      </c>
      <c r="H382" s="1501">
        <f>8400-2288.59147</f>
        <v>6111.4085300000006</v>
      </c>
      <c r="I382" s="1501">
        <v>0</v>
      </c>
      <c r="J382" s="1206">
        <v>0</v>
      </c>
      <c r="K382" s="1901">
        <v>330.33</v>
      </c>
      <c r="L382" s="1623">
        <v>0</v>
      </c>
      <c r="M382" s="1623">
        <v>0</v>
      </c>
      <c r="N382" s="1502">
        <v>0</v>
      </c>
      <c r="O382" s="600">
        <v>0</v>
      </c>
      <c r="P382" s="1005">
        <v>330.33</v>
      </c>
      <c r="Q382" s="600">
        <v>1500</v>
      </c>
      <c r="R382" s="1503">
        <v>8400</v>
      </c>
      <c r="S382" s="1504">
        <v>-6569.67</v>
      </c>
      <c r="T382" s="1503">
        <f t="shared" si="33"/>
        <v>1830.33</v>
      </c>
      <c r="U382" s="1006">
        <v>2000</v>
      </c>
      <c r="V382" s="1007">
        <v>2281.0785299999998</v>
      </c>
      <c r="W382" s="1007">
        <v>0</v>
      </c>
      <c r="X382" s="1008">
        <v>0</v>
      </c>
      <c r="Y382" s="1022">
        <v>4281.0785299999998</v>
      </c>
      <c r="Z382" s="1022">
        <v>0</v>
      </c>
      <c r="AA382" s="600">
        <v>0</v>
      </c>
      <c r="AB382" s="1005">
        <v>0</v>
      </c>
      <c r="AC382" s="600">
        <v>0</v>
      </c>
      <c r="AD382" s="1023">
        <v>0</v>
      </c>
      <c r="AE382" s="1889" t="s">
        <v>1307</v>
      </c>
      <c r="AF382" s="599" t="s">
        <v>43</v>
      </c>
      <c r="AG382" s="924" t="s">
        <v>616</v>
      </c>
      <c r="AH382" s="909" t="s">
        <v>514</v>
      </c>
      <c r="AI382" s="910" t="s">
        <v>514</v>
      </c>
    </row>
    <row r="383" spans="1:35" s="388" customFormat="1" ht="25.5" x14ac:dyDescent="0.25">
      <c r="A383" s="240" t="s">
        <v>463</v>
      </c>
      <c r="B383" s="241" t="s">
        <v>1134</v>
      </c>
      <c r="C383" s="242">
        <v>2019</v>
      </c>
      <c r="D383" s="66" t="s">
        <v>498</v>
      </c>
      <c r="E383" s="371" t="s">
        <v>325</v>
      </c>
      <c r="F383" s="243" t="s">
        <v>325</v>
      </c>
      <c r="G383" s="149" t="s">
        <v>430</v>
      </c>
      <c r="H383" s="239">
        <v>5928.1432999999997</v>
      </c>
      <c r="I383" s="239">
        <v>0</v>
      </c>
      <c r="J383" s="75">
        <v>1550.5907999999999</v>
      </c>
      <c r="K383" s="1994">
        <v>2449.4092000000001</v>
      </c>
      <c r="L383" s="1259">
        <v>0</v>
      </c>
      <c r="M383" s="1259">
        <v>0</v>
      </c>
      <c r="N383" s="268">
        <v>0</v>
      </c>
      <c r="O383" s="244">
        <f>1320.2915+230.2993</f>
        <v>1550.5907999999999</v>
      </c>
      <c r="P383" s="236">
        <f>2679.7085-230.2993</f>
        <v>2449.4092000000001</v>
      </c>
      <c r="Q383" s="244">
        <v>0</v>
      </c>
      <c r="R383" s="1347">
        <v>4000</v>
      </c>
      <c r="S383" s="1348">
        <v>0</v>
      </c>
      <c r="T383" s="1347">
        <f t="shared" si="33"/>
        <v>4000</v>
      </c>
      <c r="U383" s="269">
        <v>0</v>
      </c>
      <c r="V383" s="207">
        <v>0</v>
      </c>
      <c r="W383" s="207">
        <v>0</v>
      </c>
      <c r="X383" s="22">
        <v>0</v>
      </c>
      <c r="Y383" s="264">
        <v>0</v>
      </c>
      <c r="Z383" s="264">
        <v>0</v>
      </c>
      <c r="AA383" s="244">
        <v>0</v>
      </c>
      <c r="AB383" s="236">
        <v>0</v>
      </c>
      <c r="AC383" s="244">
        <v>1928.1433</v>
      </c>
      <c r="AD383" s="262">
        <v>0</v>
      </c>
      <c r="AE383" s="113" t="s">
        <v>484</v>
      </c>
      <c r="AF383" s="242" t="s">
        <v>535</v>
      </c>
      <c r="AG383" s="247" t="s">
        <v>540</v>
      </c>
      <c r="AH383" s="257" t="s">
        <v>514</v>
      </c>
      <c r="AI383" s="170" t="s">
        <v>514</v>
      </c>
    </row>
    <row r="384" spans="1:35" s="391" customFormat="1" ht="30" x14ac:dyDescent="0.25">
      <c r="A384" s="212" t="s">
        <v>464</v>
      </c>
      <c r="B384" s="218" t="s">
        <v>1110</v>
      </c>
      <c r="C384" s="222">
        <v>2019</v>
      </c>
      <c r="D384" s="5" t="s">
        <v>498</v>
      </c>
      <c r="E384" s="1300" t="s">
        <v>317</v>
      </c>
      <c r="F384" s="224" t="s">
        <v>317</v>
      </c>
      <c r="G384" s="450" t="s">
        <v>950</v>
      </c>
      <c r="H384" s="220">
        <v>5785.52</v>
      </c>
      <c r="I384" s="220">
        <v>0</v>
      </c>
      <c r="J384" s="1">
        <v>2892.759</v>
      </c>
      <c r="K384" s="412">
        <v>0</v>
      </c>
      <c r="L384" s="839">
        <v>0</v>
      </c>
      <c r="M384" s="839">
        <v>2892.761</v>
      </c>
      <c r="N384" s="1302">
        <f>3000-107.241</f>
        <v>2892.759</v>
      </c>
      <c r="O384" s="225">
        <v>0</v>
      </c>
      <c r="P384" s="202">
        <v>0</v>
      </c>
      <c r="Q384" s="202">
        <v>2892.761</v>
      </c>
      <c r="R384" s="1345">
        <v>5785.52</v>
      </c>
      <c r="S384" s="1346">
        <v>0</v>
      </c>
      <c r="T384" s="1345">
        <f t="shared" si="33"/>
        <v>5785.52</v>
      </c>
      <c r="U384" s="850">
        <v>0</v>
      </c>
      <c r="V384" s="201">
        <v>0</v>
      </c>
      <c r="W384" s="201">
        <v>0</v>
      </c>
      <c r="X384" s="17">
        <v>0</v>
      </c>
      <c r="Y384" s="263">
        <v>0</v>
      </c>
      <c r="Z384" s="263">
        <v>0</v>
      </c>
      <c r="AA384" s="225">
        <v>0</v>
      </c>
      <c r="AB384" s="202">
        <v>0</v>
      </c>
      <c r="AC384" s="225">
        <v>0</v>
      </c>
      <c r="AD384" s="253">
        <v>0</v>
      </c>
      <c r="AE384" s="52" t="s">
        <v>484</v>
      </c>
      <c r="AF384" s="222" t="s">
        <v>43</v>
      </c>
      <c r="AG384" s="227" t="s">
        <v>208</v>
      </c>
      <c r="AH384" s="223" t="s">
        <v>514</v>
      </c>
      <c r="AI384" s="169" t="s">
        <v>514</v>
      </c>
    </row>
    <row r="385" spans="1:35" s="388" customFormat="1" ht="25.5" x14ac:dyDescent="0.25">
      <c r="A385" s="240" t="s">
        <v>465</v>
      </c>
      <c r="B385" s="241" t="s">
        <v>987</v>
      </c>
      <c r="C385" s="242">
        <v>2019</v>
      </c>
      <c r="D385" s="66" t="s">
        <v>498</v>
      </c>
      <c r="E385" s="243" t="s">
        <v>302</v>
      </c>
      <c r="F385" s="243" t="s">
        <v>302</v>
      </c>
      <c r="G385" s="149" t="s">
        <v>431</v>
      </c>
      <c r="H385" s="239">
        <v>4180.8993499999997</v>
      </c>
      <c r="I385" s="239">
        <v>2100</v>
      </c>
      <c r="J385" s="75">
        <v>2055.6142100000002</v>
      </c>
      <c r="K385" s="1994">
        <v>25.285139999999998</v>
      </c>
      <c r="L385" s="1259">
        <v>0</v>
      </c>
      <c r="M385" s="1259">
        <v>0</v>
      </c>
      <c r="N385" s="268">
        <v>0</v>
      </c>
      <c r="O385" s="244">
        <f>2080.89935-25.28514</f>
        <v>2055.6142100000002</v>
      </c>
      <c r="P385" s="236">
        <v>25.285139999999998</v>
      </c>
      <c r="Q385" s="244">
        <v>0</v>
      </c>
      <c r="R385" s="1347">
        <v>2080.8993500000001</v>
      </c>
      <c r="S385" s="1348">
        <v>0</v>
      </c>
      <c r="T385" s="1347">
        <f t="shared" si="33"/>
        <v>2080.8993500000001</v>
      </c>
      <c r="U385" s="269">
        <v>0</v>
      </c>
      <c r="V385" s="207">
        <v>0</v>
      </c>
      <c r="W385" s="207">
        <v>0</v>
      </c>
      <c r="X385" s="22">
        <v>0</v>
      </c>
      <c r="Y385" s="264">
        <v>0</v>
      </c>
      <c r="Z385" s="264">
        <v>0</v>
      </c>
      <c r="AA385" s="244">
        <v>0</v>
      </c>
      <c r="AB385" s="236">
        <v>0</v>
      </c>
      <c r="AC385" s="244">
        <v>0</v>
      </c>
      <c r="AD385" s="262">
        <v>0</v>
      </c>
      <c r="AE385" s="35" t="s">
        <v>484</v>
      </c>
      <c r="AF385" s="242" t="s">
        <v>535</v>
      </c>
      <c r="AG385" s="247" t="s">
        <v>569</v>
      </c>
      <c r="AH385" s="257" t="s">
        <v>514</v>
      </c>
      <c r="AI385" s="170" t="s">
        <v>514</v>
      </c>
    </row>
    <row r="386" spans="1:35" ht="30" x14ac:dyDescent="0.25">
      <c r="A386" s="212" t="s">
        <v>466</v>
      </c>
      <c r="B386" s="218" t="s">
        <v>494</v>
      </c>
      <c r="C386" s="222">
        <v>2019</v>
      </c>
      <c r="D386" s="5" t="s">
        <v>498</v>
      </c>
      <c r="E386" s="224" t="s">
        <v>602</v>
      </c>
      <c r="F386" s="224" t="s">
        <v>602</v>
      </c>
      <c r="G386" s="450" t="s">
        <v>1135</v>
      </c>
      <c r="H386" s="220">
        <v>5000</v>
      </c>
      <c r="I386" s="220">
        <v>0</v>
      </c>
      <c r="J386" s="1">
        <v>0</v>
      </c>
      <c r="K386" s="412">
        <v>0</v>
      </c>
      <c r="L386" s="839">
        <v>0</v>
      </c>
      <c r="M386" s="839">
        <v>0</v>
      </c>
      <c r="N386" s="1302">
        <v>0</v>
      </c>
      <c r="O386" s="225">
        <v>0</v>
      </c>
      <c r="P386" s="202">
        <v>0</v>
      </c>
      <c r="Q386" s="225">
        <v>0</v>
      </c>
      <c r="R386" s="1345">
        <v>0</v>
      </c>
      <c r="S386" s="1346">
        <v>0</v>
      </c>
      <c r="T386" s="1345">
        <f t="shared" si="33"/>
        <v>0</v>
      </c>
      <c r="U386" s="850">
        <v>0</v>
      </c>
      <c r="V386" s="201">
        <v>0</v>
      </c>
      <c r="W386" s="201">
        <v>0</v>
      </c>
      <c r="X386" s="17">
        <v>5000</v>
      </c>
      <c r="Y386" s="263">
        <v>5000</v>
      </c>
      <c r="Z386" s="263">
        <v>0</v>
      </c>
      <c r="AA386" s="225">
        <v>0</v>
      </c>
      <c r="AB386" s="202">
        <v>0</v>
      </c>
      <c r="AC386" s="225">
        <v>0</v>
      </c>
      <c r="AD386" s="253">
        <v>0</v>
      </c>
      <c r="AE386" s="221" t="s">
        <v>484</v>
      </c>
      <c r="AF386" s="222" t="s">
        <v>19</v>
      </c>
      <c r="AG386" s="227" t="s">
        <v>208</v>
      </c>
      <c r="AH386" s="223" t="s">
        <v>513</v>
      </c>
      <c r="AI386" s="169" t="s">
        <v>513</v>
      </c>
    </row>
    <row r="387" spans="1:35" s="1339" customFormat="1" ht="30" x14ac:dyDescent="0.25">
      <c r="A387" s="913" t="s">
        <v>467</v>
      </c>
      <c r="B387" s="899" t="s">
        <v>494</v>
      </c>
      <c r="C387" s="599">
        <v>2019</v>
      </c>
      <c r="D387" s="454" t="s">
        <v>498</v>
      </c>
      <c r="E387" s="914" t="s">
        <v>596</v>
      </c>
      <c r="F387" s="914" t="s">
        <v>596</v>
      </c>
      <c r="G387" s="915" t="s">
        <v>433</v>
      </c>
      <c r="H387" s="916">
        <v>3000</v>
      </c>
      <c r="I387" s="916">
        <v>0</v>
      </c>
      <c r="J387" s="543">
        <v>0</v>
      </c>
      <c r="K387" s="1901">
        <v>0</v>
      </c>
      <c r="L387" s="1448">
        <v>0</v>
      </c>
      <c r="M387" s="1448">
        <v>0</v>
      </c>
      <c r="N387" s="1493">
        <v>0</v>
      </c>
      <c r="O387" s="608">
        <v>0</v>
      </c>
      <c r="P387" s="918">
        <v>0</v>
      </c>
      <c r="Q387" s="608">
        <v>0</v>
      </c>
      <c r="R387" s="1494">
        <v>3000</v>
      </c>
      <c r="S387" s="1495">
        <v>-3000</v>
      </c>
      <c r="T387" s="1494">
        <f t="shared" si="33"/>
        <v>0</v>
      </c>
      <c r="U387" s="919">
        <v>0</v>
      </c>
      <c r="V387" s="920">
        <v>3000</v>
      </c>
      <c r="W387" s="920">
        <v>0</v>
      </c>
      <c r="X387" s="921">
        <v>0</v>
      </c>
      <c r="Y387" s="922">
        <v>3000</v>
      </c>
      <c r="Z387" s="922">
        <v>0</v>
      </c>
      <c r="AA387" s="608">
        <v>0</v>
      </c>
      <c r="AB387" s="918">
        <v>0</v>
      </c>
      <c r="AC387" s="608">
        <v>0</v>
      </c>
      <c r="AD387" s="947">
        <v>0</v>
      </c>
      <c r="AE387" s="1506" t="s">
        <v>1308</v>
      </c>
      <c r="AF387" s="599" t="s">
        <v>43</v>
      </c>
      <c r="AG387" s="924" t="s">
        <v>899</v>
      </c>
      <c r="AH387" s="909" t="s">
        <v>514</v>
      </c>
      <c r="AI387" s="910" t="s">
        <v>513</v>
      </c>
    </row>
    <row r="388" spans="1:35" s="1339" customFormat="1" ht="30" x14ac:dyDescent="0.25">
      <c r="A388" s="899" t="s">
        <v>468</v>
      </c>
      <c r="B388" s="899" t="s">
        <v>1112</v>
      </c>
      <c r="C388" s="599">
        <v>2019</v>
      </c>
      <c r="D388" s="454" t="s">
        <v>498</v>
      </c>
      <c r="E388" s="914" t="s">
        <v>344</v>
      </c>
      <c r="F388" s="914" t="s">
        <v>344</v>
      </c>
      <c r="G388" s="915" t="s">
        <v>434</v>
      </c>
      <c r="H388" s="916">
        <v>6000</v>
      </c>
      <c r="I388" s="916">
        <v>0</v>
      </c>
      <c r="J388" s="543">
        <v>886.27200000000005</v>
      </c>
      <c r="K388" s="1901">
        <v>0</v>
      </c>
      <c r="L388" s="1448">
        <v>0</v>
      </c>
      <c r="M388" s="1448">
        <v>0</v>
      </c>
      <c r="N388" s="1493">
        <v>886.27200000000005</v>
      </c>
      <c r="O388" s="917">
        <v>0</v>
      </c>
      <c r="P388" s="918">
        <v>0</v>
      </c>
      <c r="Q388" s="1505">
        <v>0</v>
      </c>
      <c r="R388" s="1494">
        <v>6000</v>
      </c>
      <c r="S388" s="1495">
        <v>-5113.7280000000001</v>
      </c>
      <c r="T388" s="1494">
        <f t="shared" si="33"/>
        <v>886.27199999999993</v>
      </c>
      <c r="U388" s="919">
        <v>0</v>
      </c>
      <c r="V388" s="920">
        <v>2500</v>
      </c>
      <c r="W388" s="920">
        <v>2613.7280000000001</v>
      </c>
      <c r="X388" s="921">
        <v>0</v>
      </c>
      <c r="Y388" s="922">
        <v>5113.7280000000001</v>
      </c>
      <c r="Z388" s="922">
        <v>0</v>
      </c>
      <c r="AA388" s="608">
        <v>0</v>
      </c>
      <c r="AB388" s="918">
        <v>0</v>
      </c>
      <c r="AC388" s="608">
        <v>0</v>
      </c>
      <c r="AD388" s="947">
        <v>0</v>
      </c>
      <c r="AE388" s="359" t="s">
        <v>1309</v>
      </c>
      <c r="AF388" s="599" t="s">
        <v>43</v>
      </c>
      <c r="AG388" s="924" t="s">
        <v>472</v>
      </c>
      <c r="AH388" s="909" t="s">
        <v>514</v>
      </c>
      <c r="AI388" s="910" t="s">
        <v>514</v>
      </c>
    </row>
    <row r="389" spans="1:35" s="388" customFormat="1" ht="25.5" x14ac:dyDescent="0.25">
      <c r="A389" s="240" t="s">
        <v>469</v>
      </c>
      <c r="B389" s="241" t="s">
        <v>1226</v>
      </c>
      <c r="C389" s="242">
        <v>2019</v>
      </c>
      <c r="D389" s="66" t="s">
        <v>498</v>
      </c>
      <c r="E389" s="243" t="s">
        <v>314</v>
      </c>
      <c r="F389" s="243" t="s">
        <v>314</v>
      </c>
      <c r="G389" s="149" t="s">
        <v>436</v>
      </c>
      <c r="H389" s="239">
        <v>566.5</v>
      </c>
      <c r="I389" s="239">
        <v>0</v>
      </c>
      <c r="J389" s="75">
        <v>0</v>
      </c>
      <c r="K389" s="1994">
        <v>566.5</v>
      </c>
      <c r="L389" s="1259">
        <v>0</v>
      </c>
      <c r="M389" s="1259">
        <v>0</v>
      </c>
      <c r="N389" s="268">
        <v>0</v>
      </c>
      <c r="O389" s="244">
        <v>0</v>
      </c>
      <c r="P389" s="236">
        <v>566.5</v>
      </c>
      <c r="Q389" s="244">
        <v>0</v>
      </c>
      <c r="R389" s="1347">
        <v>566.5</v>
      </c>
      <c r="S389" s="1348">
        <v>0</v>
      </c>
      <c r="T389" s="1347">
        <f t="shared" si="33"/>
        <v>566.5</v>
      </c>
      <c r="U389" s="269">
        <v>0</v>
      </c>
      <c r="V389" s="207">
        <v>0</v>
      </c>
      <c r="W389" s="207">
        <v>0</v>
      </c>
      <c r="X389" s="22">
        <v>0</v>
      </c>
      <c r="Y389" s="264">
        <v>0</v>
      </c>
      <c r="Z389" s="264">
        <v>0</v>
      </c>
      <c r="AA389" s="244">
        <v>0</v>
      </c>
      <c r="AB389" s="236">
        <v>0</v>
      </c>
      <c r="AC389" s="244">
        <v>0</v>
      </c>
      <c r="AD389" s="262">
        <v>0</v>
      </c>
      <c r="AE389" s="1887" t="s">
        <v>484</v>
      </c>
      <c r="AF389" s="242" t="s">
        <v>535</v>
      </c>
      <c r="AG389" s="247" t="s">
        <v>540</v>
      </c>
      <c r="AH389" s="257" t="s">
        <v>514</v>
      </c>
      <c r="AI389" s="170" t="s">
        <v>514</v>
      </c>
    </row>
    <row r="390" spans="1:35" ht="30" x14ac:dyDescent="0.25">
      <c r="A390" s="218" t="s">
        <v>470</v>
      </c>
      <c r="B390" s="218" t="s">
        <v>494</v>
      </c>
      <c r="C390" s="222">
        <v>2019</v>
      </c>
      <c r="D390" s="5" t="s">
        <v>498</v>
      </c>
      <c r="E390" s="224" t="s">
        <v>314</v>
      </c>
      <c r="F390" s="224" t="s">
        <v>314</v>
      </c>
      <c r="G390" s="450" t="s">
        <v>437</v>
      </c>
      <c r="H390" s="220">
        <v>900</v>
      </c>
      <c r="I390" s="220">
        <v>0</v>
      </c>
      <c r="J390" s="1">
        <v>0</v>
      </c>
      <c r="K390" s="412">
        <v>0</v>
      </c>
      <c r="L390" s="839">
        <v>0</v>
      </c>
      <c r="M390" s="839">
        <v>0</v>
      </c>
      <c r="N390" s="1302">
        <v>0</v>
      </c>
      <c r="O390" s="225">
        <v>0</v>
      </c>
      <c r="P390" s="202">
        <v>0</v>
      </c>
      <c r="Q390" s="225">
        <v>900</v>
      </c>
      <c r="R390" s="1345">
        <v>900</v>
      </c>
      <c r="S390" s="1346">
        <v>0</v>
      </c>
      <c r="T390" s="1345">
        <f t="shared" si="33"/>
        <v>900</v>
      </c>
      <c r="U390" s="850">
        <v>0</v>
      </c>
      <c r="V390" s="201">
        <v>0</v>
      </c>
      <c r="W390" s="201">
        <v>0</v>
      </c>
      <c r="X390" s="17">
        <v>0</v>
      </c>
      <c r="Y390" s="263">
        <v>0</v>
      </c>
      <c r="Z390" s="263">
        <v>0</v>
      </c>
      <c r="AA390" s="225">
        <v>0</v>
      </c>
      <c r="AB390" s="202">
        <v>0</v>
      </c>
      <c r="AC390" s="225">
        <v>0</v>
      </c>
      <c r="AD390" s="253">
        <v>0</v>
      </c>
      <c r="AE390" s="936" t="s">
        <v>484</v>
      </c>
      <c r="AF390" s="222" t="s">
        <v>43</v>
      </c>
      <c r="AG390" s="227" t="s">
        <v>732</v>
      </c>
      <c r="AH390" s="223" t="s">
        <v>514</v>
      </c>
      <c r="AI390" s="169" t="s">
        <v>514</v>
      </c>
    </row>
    <row r="391" spans="1:35" s="1339" customFormat="1" ht="26.25" thickBot="1" x14ac:dyDescent="0.3">
      <c r="A391" s="948" t="s">
        <v>471</v>
      </c>
      <c r="B391" s="948" t="s">
        <v>494</v>
      </c>
      <c r="C391" s="1507">
        <v>2019</v>
      </c>
      <c r="D391" s="582" t="s">
        <v>498</v>
      </c>
      <c r="E391" s="950" t="s">
        <v>597</v>
      </c>
      <c r="F391" s="950" t="s">
        <v>597</v>
      </c>
      <c r="G391" s="1508" t="s">
        <v>438</v>
      </c>
      <c r="H391" s="951">
        <v>3500</v>
      </c>
      <c r="I391" s="951">
        <v>0</v>
      </c>
      <c r="J391" s="583">
        <v>0</v>
      </c>
      <c r="K391" s="1459">
        <v>0</v>
      </c>
      <c r="L391" s="1459">
        <v>0</v>
      </c>
      <c r="M391" s="1459">
        <v>0</v>
      </c>
      <c r="N391" s="1509">
        <v>0</v>
      </c>
      <c r="O391" s="953">
        <v>0</v>
      </c>
      <c r="P391" s="954"/>
      <c r="Q391" s="953">
        <v>0</v>
      </c>
      <c r="R391" s="1510">
        <v>3500</v>
      </c>
      <c r="S391" s="1511">
        <v>-3500</v>
      </c>
      <c r="T391" s="1510">
        <f t="shared" si="33"/>
        <v>0</v>
      </c>
      <c r="U391" s="955">
        <v>0</v>
      </c>
      <c r="V391" s="956">
        <v>0</v>
      </c>
      <c r="W391" s="956">
        <v>3500</v>
      </c>
      <c r="X391" s="957">
        <v>0</v>
      </c>
      <c r="Y391" s="958">
        <v>3500</v>
      </c>
      <c r="Z391" s="958">
        <v>0</v>
      </c>
      <c r="AA391" s="953">
        <v>0</v>
      </c>
      <c r="AB391" s="954">
        <v>0</v>
      </c>
      <c r="AC391" s="953">
        <v>0</v>
      </c>
      <c r="AD391" s="959">
        <v>0</v>
      </c>
      <c r="AE391" s="636" t="s">
        <v>1310</v>
      </c>
      <c r="AF391" s="1507" t="s">
        <v>19</v>
      </c>
      <c r="AG391" s="960" t="s">
        <v>208</v>
      </c>
      <c r="AH391" s="960" t="s">
        <v>513</v>
      </c>
      <c r="AI391" s="961" t="s">
        <v>513</v>
      </c>
    </row>
    <row r="392" spans="1:35" ht="25.5" x14ac:dyDescent="0.25">
      <c r="A392" s="218" t="s">
        <v>536</v>
      </c>
      <c r="B392" s="218" t="s">
        <v>494</v>
      </c>
      <c r="C392" s="222">
        <v>2019</v>
      </c>
      <c r="D392" s="4" t="s">
        <v>568</v>
      </c>
      <c r="E392" s="224" t="s">
        <v>591</v>
      </c>
      <c r="F392" s="224" t="s">
        <v>591</v>
      </c>
      <c r="G392" s="152" t="s">
        <v>537</v>
      </c>
      <c r="H392" s="220">
        <v>2000</v>
      </c>
      <c r="I392" s="220">
        <v>0</v>
      </c>
      <c r="J392" s="1">
        <v>0</v>
      </c>
      <c r="K392" s="412">
        <v>0</v>
      </c>
      <c r="L392" s="839">
        <v>0</v>
      </c>
      <c r="M392" s="839">
        <v>0</v>
      </c>
      <c r="N392" s="1302">
        <v>0</v>
      </c>
      <c r="O392" s="225">
        <v>0</v>
      </c>
      <c r="P392" s="202">
        <v>0</v>
      </c>
      <c r="Q392" s="225">
        <v>2000</v>
      </c>
      <c r="R392" s="1343">
        <v>2000</v>
      </c>
      <c r="S392" s="1344">
        <v>0</v>
      </c>
      <c r="T392" s="1343">
        <f t="shared" si="33"/>
        <v>2000</v>
      </c>
      <c r="U392" s="849">
        <v>0</v>
      </c>
      <c r="V392" s="347">
        <v>0</v>
      </c>
      <c r="W392" s="347">
        <v>0</v>
      </c>
      <c r="X392" s="2">
        <v>0</v>
      </c>
      <c r="Y392" s="263">
        <v>0</v>
      </c>
      <c r="Z392" s="253">
        <v>0</v>
      </c>
      <c r="AA392" s="225">
        <v>0</v>
      </c>
      <c r="AB392" s="202">
        <v>0</v>
      </c>
      <c r="AC392" s="225">
        <v>0</v>
      </c>
      <c r="AD392" s="400">
        <v>0</v>
      </c>
      <c r="AE392" s="934" t="s">
        <v>484</v>
      </c>
      <c r="AF392" s="5" t="s">
        <v>43</v>
      </c>
      <c r="AG392" s="227" t="s">
        <v>732</v>
      </c>
      <c r="AH392" s="223" t="s">
        <v>514</v>
      </c>
      <c r="AI392" s="223" t="s">
        <v>514</v>
      </c>
    </row>
    <row r="393" spans="1:35" ht="25.5" x14ac:dyDescent="0.25">
      <c r="A393" s="218" t="s">
        <v>538</v>
      </c>
      <c r="B393" s="783" t="s">
        <v>887</v>
      </c>
      <c r="C393" s="784">
        <v>2019</v>
      </c>
      <c r="D393" s="4" t="s">
        <v>568</v>
      </c>
      <c r="E393" s="224" t="s">
        <v>299</v>
      </c>
      <c r="F393" s="224" t="s">
        <v>299</v>
      </c>
      <c r="G393" s="770" t="s">
        <v>563</v>
      </c>
      <c r="H393" s="266">
        <v>9000</v>
      </c>
      <c r="I393" s="266">
        <v>4722.7340000000004</v>
      </c>
      <c r="J393" s="1">
        <v>0</v>
      </c>
      <c r="K393" s="412">
        <v>0</v>
      </c>
      <c r="L393" s="839">
        <v>0</v>
      </c>
      <c r="M393" s="839">
        <v>0</v>
      </c>
      <c r="N393" s="1305">
        <f>277.266-277.266</f>
        <v>0</v>
      </c>
      <c r="O393" s="330">
        <v>0</v>
      </c>
      <c r="P393" s="785">
        <v>0</v>
      </c>
      <c r="Q393" s="844">
        <v>4277.2659999999996</v>
      </c>
      <c r="R393" s="1345">
        <v>4277.2659999999996</v>
      </c>
      <c r="S393" s="1346">
        <v>0</v>
      </c>
      <c r="T393" s="1345">
        <f t="shared" si="33"/>
        <v>4277.2659999999996</v>
      </c>
      <c r="U393" s="851">
        <v>0</v>
      </c>
      <c r="V393" s="496">
        <v>0</v>
      </c>
      <c r="W393" s="496">
        <v>0</v>
      </c>
      <c r="X393" s="25">
        <v>0</v>
      </c>
      <c r="Y393" s="842">
        <v>0</v>
      </c>
      <c r="Z393" s="253">
        <v>0</v>
      </c>
      <c r="AA393" s="225">
        <v>0</v>
      </c>
      <c r="AB393" s="785">
        <v>0</v>
      </c>
      <c r="AC393" s="844">
        <v>0</v>
      </c>
      <c r="AD393" s="2083">
        <v>0</v>
      </c>
      <c r="AE393" s="52" t="s">
        <v>484</v>
      </c>
      <c r="AF393" s="5" t="s">
        <v>43</v>
      </c>
      <c r="AG393" s="227" t="s">
        <v>208</v>
      </c>
      <c r="AH393" s="223" t="s">
        <v>514</v>
      </c>
      <c r="AI393" s="169" t="s">
        <v>514</v>
      </c>
    </row>
    <row r="394" spans="1:35" ht="26.25" thickBot="1" x14ac:dyDescent="0.3">
      <c r="A394" s="248" t="s">
        <v>539</v>
      </c>
      <c r="B394" s="248" t="s">
        <v>863</v>
      </c>
      <c r="C394" s="226">
        <v>2019</v>
      </c>
      <c r="D394" s="54" t="s">
        <v>568</v>
      </c>
      <c r="E394" s="249" t="s">
        <v>344</v>
      </c>
      <c r="F394" s="249" t="s">
        <v>344</v>
      </c>
      <c r="G394" s="802" t="s">
        <v>723</v>
      </c>
      <c r="H394" s="250">
        <v>3200</v>
      </c>
      <c r="I394" s="250">
        <v>1289.1500000000001</v>
      </c>
      <c r="J394" s="158">
        <v>299</v>
      </c>
      <c r="K394" s="835">
        <v>0</v>
      </c>
      <c r="L394" s="1250">
        <v>0</v>
      </c>
      <c r="M394" s="835">
        <v>0</v>
      </c>
      <c r="N394" s="1303">
        <f>1610.85-1610.85</f>
        <v>0</v>
      </c>
      <c r="O394" s="336">
        <v>299</v>
      </c>
      <c r="P394" s="502">
        <v>0</v>
      </c>
      <c r="Q394" s="502">
        <f>1411.85+199-299</f>
        <v>1311.85</v>
      </c>
      <c r="R394" s="1362">
        <v>1610.85</v>
      </c>
      <c r="S394" s="1363">
        <v>0</v>
      </c>
      <c r="T394" s="1362">
        <f t="shared" si="33"/>
        <v>1610.85</v>
      </c>
      <c r="U394" s="845">
        <v>0</v>
      </c>
      <c r="V394" s="203">
        <v>0</v>
      </c>
      <c r="W394" s="203">
        <v>0</v>
      </c>
      <c r="X394" s="47">
        <v>0</v>
      </c>
      <c r="Y394" s="265">
        <v>0</v>
      </c>
      <c r="Z394" s="251">
        <v>0</v>
      </c>
      <c r="AA394" s="498">
        <v>0</v>
      </c>
      <c r="AB394" s="502">
        <v>0</v>
      </c>
      <c r="AC394" s="498">
        <v>300</v>
      </c>
      <c r="AD394" s="251">
        <v>0</v>
      </c>
      <c r="AE394" s="1243" t="s">
        <v>484</v>
      </c>
      <c r="AF394" s="125" t="s">
        <v>43</v>
      </c>
      <c r="AG394" s="803" t="s">
        <v>732</v>
      </c>
      <c r="AH394" s="255" t="s">
        <v>514</v>
      </c>
      <c r="AI394" s="245" t="s">
        <v>514</v>
      </c>
    </row>
    <row r="395" spans="1:35" s="385" customFormat="1" ht="25.5" x14ac:dyDescent="0.25">
      <c r="A395" s="609" t="s">
        <v>570</v>
      </c>
      <c r="B395" s="609" t="s">
        <v>1224</v>
      </c>
      <c r="C395" s="374">
        <v>2019</v>
      </c>
      <c r="D395" s="520" t="s">
        <v>722</v>
      </c>
      <c r="E395" s="622" t="s">
        <v>435</v>
      </c>
      <c r="F395" s="622" t="s">
        <v>435</v>
      </c>
      <c r="G395" s="1512" t="s">
        <v>571</v>
      </c>
      <c r="H395" s="623">
        <v>1434.0160000000001</v>
      </c>
      <c r="I395" s="623">
        <v>0</v>
      </c>
      <c r="J395" s="540">
        <v>0</v>
      </c>
      <c r="K395" s="1994">
        <v>1434.0160000000001</v>
      </c>
      <c r="L395" s="2001">
        <v>0</v>
      </c>
      <c r="M395" s="2001">
        <v>0</v>
      </c>
      <c r="N395" s="716">
        <v>0</v>
      </c>
      <c r="O395" s="601">
        <v>0</v>
      </c>
      <c r="P395" s="614">
        <f>1016.58+417.436</f>
        <v>1434.0160000000001</v>
      </c>
      <c r="Q395" s="601">
        <v>0</v>
      </c>
      <c r="R395" s="1514">
        <v>1500</v>
      </c>
      <c r="S395" s="1515">
        <f>-483.42+417.436</f>
        <v>-65.984000000000037</v>
      </c>
      <c r="T395" s="1514">
        <f t="shared" si="33"/>
        <v>1434.0160000000001</v>
      </c>
      <c r="U395" s="717">
        <v>0</v>
      </c>
      <c r="V395" s="651">
        <v>0</v>
      </c>
      <c r="W395" s="651">
        <v>0</v>
      </c>
      <c r="X395" s="650">
        <v>0</v>
      </c>
      <c r="Y395" s="667">
        <v>0</v>
      </c>
      <c r="Z395" s="624">
        <v>0</v>
      </c>
      <c r="AA395" s="601">
        <v>0</v>
      </c>
      <c r="AB395" s="614">
        <v>0</v>
      </c>
      <c r="AC395" s="601">
        <v>0</v>
      </c>
      <c r="AD395" s="624">
        <v>0</v>
      </c>
      <c r="AE395" s="1516" t="s">
        <v>1463</v>
      </c>
      <c r="AF395" s="520" t="s">
        <v>535</v>
      </c>
      <c r="AG395" s="606" t="s">
        <v>523</v>
      </c>
      <c r="AH395" s="606" t="s">
        <v>514</v>
      </c>
      <c r="AI395" s="607" t="s">
        <v>514</v>
      </c>
    </row>
    <row r="396" spans="1:35" ht="25.5" x14ac:dyDescent="0.25">
      <c r="A396" s="218" t="s">
        <v>572</v>
      </c>
      <c r="B396" s="212" t="s">
        <v>494</v>
      </c>
      <c r="C396" s="222">
        <v>2019</v>
      </c>
      <c r="D396" s="5" t="s">
        <v>722</v>
      </c>
      <c r="E396" s="224" t="s">
        <v>311</v>
      </c>
      <c r="F396" s="224" t="s">
        <v>311</v>
      </c>
      <c r="G396" s="456" t="s">
        <v>432</v>
      </c>
      <c r="H396" s="220">
        <v>2869</v>
      </c>
      <c r="I396" s="220">
        <v>0</v>
      </c>
      <c r="J396" s="1">
        <v>0</v>
      </c>
      <c r="K396" s="412">
        <v>0</v>
      </c>
      <c r="L396" s="839">
        <v>0</v>
      </c>
      <c r="M396" s="839">
        <v>0</v>
      </c>
      <c r="N396" s="1302">
        <v>0</v>
      </c>
      <c r="O396" s="225">
        <v>0</v>
      </c>
      <c r="P396" s="202">
        <v>0</v>
      </c>
      <c r="Q396" s="225">
        <v>0</v>
      </c>
      <c r="R396" s="1345">
        <v>0</v>
      </c>
      <c r="S396" s="1346">
        <v>0</v>
      </c>
      <c r="T396" s="1345">
        <f t="shared" si="33"/>
        <v>0</v>
      </c>
      <c r="U396" s="850">
        <v>0</v>
      </c>
      <c r="V396" s="201">
        <v>2869</v>
      </c>
      <c r="W396" s="201">
        <v>0</v>
      </c>
      <c r="X396" s="17">
        <v>0</v>
      </c>
      <c r="Y396" s="263">
        <v>2869</v>
      </c>
      <c r="Z396" s="253">
        <v>0</v>
      </c>
      <c r="AA396" s="225">
        <v>0</v>
      </c>
      <c r="AB396" s="202">
        <v>0</v>
      </c>
      <c r="AC396" s="225">
        <v>0</v>
      </c>
      <c r="AD396" s="253">
        <v>0</v>
      </c>
      <c r="AE396" s="52" t="s">
        <v>484</v>
      </c>
      <c r="AF396" s="5" t="s">
        <v>19</v>
      </c>
      <c r="AG396" s="223" t="s">
        <v>208</v>
      </c>
      <c r="AH396" s="223" t="s">
        <v>513</v>
      </c>
      <c r="AI396" s="169" t="s">
        <v>513</v>
      </c>
    </row>
    <row r="397" spans="1:35" ht="25.5" x14ac:dyDescent="0.25">
      <c r="A397" s="218" t="s">
        <v>573</v>
      </c>
      <c r="B397" s="212" t="s">
        <v>494</v>
      </c>
      <c r="C397" s="222">
        <v>2019</v>
      </c>
      <c r="D397" s="5" t="s">
        <v>722</v>
      </c>
      <c r="E397" s="224" t="s">
        <v>322</v>
      </c>
      <c r="F397" s="224" t="s">
        <v>322</v>
      </c>
      <c r="G397" s="456" t="s">
        <v>574</v>
      </c>
      <c r="H397" s="220">
        <v>600</v>
      </c>
      <c r="I397" s="220">
        <v>0</v>
      </c>
      <c r="J397" s="1">
        <v>0</v>
      </c>
      <c r="K397" s="412">
        <v>0</v>
      </c>
      <c r="L397" s="839">
        <v>0</v>
      </c>
      <c r="M397" s="839">
        <v>0</v>
      </c>
      <c r="N397" s="1302">
        <v>0</v>
      </c>
      <c r="O397" s="225">
        <v>0</v>
      </c>
      <c r="P397" s="202">
        <v>0</v>
      </c>
      <c r="Q397" s="225">
        <v>0</v>
      </c>
      <c r="R397" s="1345">
        <v>0</v>
      </c>
      <c r="S397" s="1346">
        <v>0</v>
      </c>
      <c r="T397" s="1345">
        <f t="shared" si="33"/>
        <v>0</v>
      </c>
      <c r="U397" s="850">
        <v>0</v>
      </c>
      <c r="V397" s="201">
        <v>600</v>
      </c>
      <c r="W397" s="201">
        <v>0</v>
      </c>
      <c r="X397" s="17">
        <v>0</v>
      </c>
      <c r="Y397" s="263">
        <v>600</v>
      </c>
      <c r="Z397" s="253">
        <v>0</v>
      </c>
      <c r="AA397" s="225">
        <v>0</v>
      </c>
      <c r="AB397" s="202">
        <v>0</v>
      </c>
      <c r="AC397" s="225">
        <v>0</v>
      </c>
      <c r="AD397" s="253">
        <v>0</v>
      </c>
      <c r="AE397" s="936" t="s">
        <v>484</v>
      </c>
      <c r="AF397" s="5" t="s">
        <v>19</v>
      </c>
      <c r="AG397" s="223" t="s">
        <v>208</v>
      </c>
      <c r="AH397" s="223" t="s">
        <v>513</v>
      </c>
      <c r="AI397" s="169" t="s">
        <v>513</v>
      </c>
    </row>
    <row r="398" spans="1:35" ht="30.75" x14ac:dyDescent="0.25">
      <c r="A398" s="218" t="s">
        <v>575</v>
      </c>
      <c r="B398" s="212" t="s">
        <v>494</v>
      </c>
      <c r="C398" s="222">
        <v>2019</v>
      </c>
      <c r="D398" s="5" t="s">
        <v>722</v>
      </c>
      <c r="E398" s="224" t="s">
        <v>604</v>
      </c>
      <c r="F398" s="224" t="s">
        <v>604</v>
      </c>
      <c r="G398" s="456" t="s">
        <v>576</v>
      </c>
      <c r="H398" s="220">
        <v>12000</v>
      </c>
      <c r="I398" s="220">
        <v>0</v>
      </c>
      <c r="J398" s="1">
        <v>0</v>
      </c>
      <c r="K398" s="412">
        <v>0</v>
      </c>
      <c r="L398" s="839">
        <v>0</v>
      </c>
      <c r="M398" s="839">
        <v>0</v>
      </c>
      <c r="N398" s="1302">
        <v>0</v>
      </c>
      <c r="O398" s="225">
        <v>0</v>
      </c>
      <c r="P398" s="202">
        <v>0</v>
      </c>
      <c r="Q398" s="225">
        <v>0</v>
      </c>
      <c r="R398" s="1345">
        <v>0</v>
      </c>
      <c r="S398" s="1346">
        <v>0</v>
      </c>
      <c r="T398" s="1345">
        <f t="shared" si="33"/>
        <v>0</v>
      </c>
      <c r="U398" s="850">
        <v>0</v>
      </c>
      <c r="V398" s="201">
        <v>0</v>
      </c>
      <c r="W398" s="201">
        <v>6000</v>
      </c>
      <c r="X398" s="17">
        <v>6000</v>
      </c>
      <c r="Y398" s="263">
        <v>12000</v>
      </c>
      <c r="Z398" s="253">
        <v>0</v>
      </c>
      <c r="AA398" s="225">
        <v>0</v>
      </c>
      <c r="AB398" s="202">
        <v>0</v>
      </c>
      <c r="AC398" s="225">
        <v>0</v>
      </c>
      <c r="AD398" s="253">
        <v>0</v>
      </c>
      <c r="AE398" s="936" t="s">
        <v>484</v>
      </c>
      <c r="AF398" s="5" t="s">
        <v>19</v>
      </c>
      <c r="AG398" s="223" t="s">
        <v>208</v>
      </c>
      <c r="AH398" s="223" t="s">
        <v>513</v>
      </c>
      <c r="AI398" s="169" t="s">
        <v>513</v>
      </c>
    </row>
    <row r="399" spans="1:35" ht="25.5" x14ac:dyDescent="0.25">
      <c r="A399" s="218" t="s">
        <v>577</v>
      </c>
      <c r="B399" s="212" t="s">
        <v>494</v>
      </c>
      <c r="C399" s="222">
        <v>2019</v>
      </c>
      <c r="D399" s="5" t="s">
        <v>722</v>
      </c>
      <c r="E399" s="224" t="s">
        <v>318</v>
      </c>
      <c r="F399" s="224" t="s">
        <v>318</v>
      </c>
      <c r="G399" s="456" t="s">
        <v>578</v>
      </c>
      <c r="H399" s="220">
        <v>1000</v>
      </c>
      <c r="I399" s="220">
        <v>0</v>
      </c>
      <c r="J399" s="1">
        <v>0</v>
      </c>
      <c r="K399" s="412">
        <v>0</v>
      </c>
      <c r="L399" s="839">
        <v>0</v>
      </c>
      <c r="M399" s="839">
        <v>0</v>
      </c>
      <c r="N399" s="1302">
        <v>0</v>
      </c>
      <c r="O399" s="225">
        <v>0</v>
      </c>
      <c r="P399" s="202">
        <v>0</v>
      </c>
      <c r="Q399" s="225">
        <v>0</v>
      </c>
      <c r="R399" s="1345">
        <v>0</v>
      </c>
      <c r="S399" s="1346">
        <v>0</v>
      </c>
      <c r="T399" s="1345">
        <f t="shared" si="33"/>
        <v>0</v>
      </c>
      <c r="U399" s="850">
        <v>0</v>
      </c>
      <c r="V399" s="201">
        <v>1000</v>
      </c>
      <c r="W399" s="201">
        <v>0</v>
      </c>
      <c r="X399" s="17">
        <v>0</v>
      </c>
      <c r="Y399" s="263">
        <v>1000</v>
      </c>
      <c r="Z399" s="253">
        <v>0</v>
      </c>
      <c r="AA399" s="225">
        <v>0</v>
      </c>
      <c r="AB399" s="202">
        <v>0</v>
      </c>
      <c r="AC399" s="225">
        <v>0</v>
      </c>
      <c r="AD399" s="253">
        <v>0</v>
      </c>
      <c r="AE399" s="936" t="s">
        <v>484</v>
      </c>
      <c r="AF399" s="5" t="s">
        <v>19</v>
      </c>
      <c r="AG399" s="223" t="s">
        <v>208</v>
      </c>
      <c r="AH399" s="223" t="s">
        <v>513</v>
      </c>
      <c r="AI399" s="169" t="s">
        <v>513</v>
      </c>
    </row>
    <row r="400" spans="1:35" ht="25.5" x14ac:dyDescent="0.25">
      <c r="A400" s="218" t="s">
        <v>579</v>
      </c>
      <c r="B400" s="212" t="s">
        <v>494</v>
      </c>
      <c r="C400" s="222">
        <v>2019</v>
      </c>
      <c r="D400" s="5" t="s">
        <v>722</v>
      </c>
      <c r="E400" s="224" t="s">
        <v>299</v>
      </c>
      <c r="F400" s="224" t="s">
        <v>299</v>
      </c>
      <c r="G400" s="417" t="s">
        <v>1136</v>
      </c>
      <c r="H400" s="220">
        <v>10400</v>
      </c>
      <c r="I400" s="220">
        <v>0</v>
      </c>
      <c r="J400" s="1">
        <v>0</v>
      </c>
      <c r="K400" s="412">
        <v>0</v>
      </c>
      <c r="L400" s="839">
        <v>0</v>
      </c>
      <c r="M400" s="839">
        <v>0</v>
      </c>
      <c r="N400" s="1302">
        <v>0</v>
      </c>
      <c r="O400" s="225">
        <v>0</v>
      </c>
      <c r="P400" s="202">
        <v>0</v>
      </c>
      <c r="Q400" s="225">
        <v>0</v>
      </c>
      <c r="R400" s="1345">
        <v>0</v>
      </c>
      <c r="S400" s="1346">
        <v>0</v>
      </c>
      <c r="T400" s="1345">
        <f t="shared" si="33"/>
        <v>0</v>
      </c>
      <c r="U400" s="850">
        <v>0</v>
      </c>
      <c r="V400" s="201">
        <v>0</v>
      </c>
      <c r="W400" s="201">
        <v>4200</v>
      </c>
      <c r="X400" s="17">
        <v>6200</v>
      </c>
      <c r="Y400" s="263">
        <v>10400</v>
      </c>
      <c r="Z400" s="253">
        <v>0</v>
      </c>
      <c r="AA400" s="225">
        <v>0</v>
      </c>
      <c r="AB400" s="202">
        <v>0</v>
      </c>
      <c r="AC400" s="225">
        <v>0</v>
      </c>
      <c r="AD400" s="253">
        <v>0</v>
      </c>
      <c r="AE400" s="229" t="s">
        <v>484</v>
      </c>
      <c r="AF400" s="5" t="s">
        <v>19</v>
      </c>
      <c r="AG400" s="223" t="s">
        <v>208</v>
      </c>
      <c r="AH400" s="223" t="s">
        <v>513</v>
      </c>
      <c r="AI400" s="169" t="s">
        <v>513</v>
      </c>
    </row>
    <row r="401" spans="1:35" ht="30.75" x14ac:dyDescent="0.25">
      <c r="A401" s="218" t="s">
        <v>580</v>
      </c>
      <c r="B401" s="212" t="s">
        <v>494</v>
      </c>
      <c r="C401" s="222">
        <v>2019</v>
      </c>
      <c r="D401" s="5" t="s">
        <v>722</v>
      </c>
      <c r="E401" s="224" t="s">
        <v>326</v>
      </c>
      <c r="F401" s="224" t="s">
        <v>326</v>
      </c>
      <c r="G401" s="456" t="s">
        <v>581</v>
      </c>
      <c r="H401" s="220">
        <v>1300</v>
      </c>
      <c r="I401" s="220">
        <v>0</v>
      </c>
      <c r="J401" s="1">
        <v>0</v>
      </c>
      <c r="K401" s="412">
        <v>0</v>
      </c>
      <c r="L401" s="839">
        <v>0</v>
      </c>
      <c r="M401" s="839">
        <v>0</v>
      </c>
      <c r="N401" s="1302">
        <v>0</v>
      </c>
      <c r="O401" s="225">
        <v>0</v>
      </c>
      <c r="P401" s="202">
        <v>0</v>
      </c>
      <c r="Q401" s="225">
        <v>0</v>
      </c>
      <c r="R401" s="1345">
        <v>0</v>
      </c>
      <c r="S401" s="1346">
        <v>0</v>
      </c>
      <c r="T401" s="1345">
        <f t="shared" si="33"/>
        <v>0</v>
      </c>
      <c r="U401" s="850">
        <v>0</v>
      </c>
      <c r="V401" s="201">
        <v>1300</v>
      </c>
      <c r="W401" s="201">
        <v>0</v>
      </c>
      <c r="X401" s="17">
        <v>0</v>
      </c>
      <c r="Y401" s="263">
        <v>1300</v>
      </c>
      <c r="Z401" s="253">
        <v>0</v>
      </c>
      <c r="AA401" s="225">
        <v>0</v>
      </c>
      <c r="AB401" s="202">
        <v>0</v>
      </c>
      <c r="AC401" s="225">
        <v>0</v>
      </c>
      <c r="AD401" s="253">
        <v>0</v>
      </c>
      <c r="AE401" s="936" t="s">
        <v>484</v>
      </c>
      <c r="AF401" s="5" t="s">
        <v>19</v>
      </c>
      <c r="AG401" s="223" t="s">
        <v>208</v>
      </c>
      <c r="AH401" s="223" t="s">
        <v>513</v>
      </c>
      <c r="AI401" s="169" t="s">
        <v>513</v>
      </c>
    </row>
    <row r="402" spans="1:35" ht="30.75" x14ac:dyDescent="0.25">
      <c r="A402" s="218" t="s">
        <v>582</v>
      </c>
      <c r="B402" s="212" t="s">
        <v>494</v>
      </c>
      <c r="C402" s="222">
        <v>2019</v>
      </c>
      <c r="D402" s="5" t="s">
        <v>722</v>
      </c>
      <c r="E402" s="224" t="s">
        <v>326</v>
      </c>
      <c r="F402" s="224" t="s">
        <v>326</v>
      </c>
      <c r="G402" s="456" t="s">
        <v>583</v>
      </c>
      <c r="H402" s="220">
        <v>1600</v>
      </c>
      <c r="I402" s="220">
        <v>0</v>
      </c>
      <c r="J402" s="1">
        <v>0</v>
      </c>
      <c r="K402" s="412">
        <v>0</v>
      </c>
      <c r="L402" s="839">
        <v>0</v>
      </c>
      <c r="M402" s="839">
        <v>0</v>
      </c>
      <c r="N402" s="1302">
        <v>0</v>
      </c>
      <c r="O402" s="225">
        <v>0</v>
      </c>
      <c r="P402" s="202">
        <v>0</v>
      </c>
      <c r="Q402" s="225">
        <v>0</v>
      </c>
      <c r="R402" s="1345">
        <v>0</v>
      </c>
      <c r="S402" s="1346">
        <v>0</v>
      </c>
      <c r="T402" s="1345">
        <f t="shared" si="33"/>
        <v>0</v>
      </c>
      <c r="U402" s="850">
        <v>0</v>
      </c>
      <c r="V402" s="201"/>
      <c r="W402" s="201">
        <v>1600</v>
      </c>
      <c r="X402" s="17">
        <v>0</v>
      </c>
      <c r="Y402" s="263">
        <v>1600</v>
      </c>
      <c r="Z402" s="253">
        <v>0</v>
      </c>
      <c r="AA402" s="225">
        <v>0</v>
      </c>
      <c r="AB402" s="202">
        <v>0</v>
      </c>
      <c r="AC402" s="225">
        <v>0</v>
      </c>
      <c r="AD402" s="253">
        <v>0</v>
      </c>
      <c r="AE402" s="936" t="s">
        <v>484</v>
      </c>
      <c r="AF402" s="5" t="s">
        <v>19</v>
      </c>
      <c r="AG402" s="223" t="s">
        <v>208</v>
      </c>
      <c r="AH402" s="223" t="s">
        <v>513</v>
      </c>
      <c r="AI402" s="169" t="s">
        <v>513</v>
      </c>
    </row>
    <row r="403" spans="1:35" s="391" customFormat="1" ht="51" x14ac:dyDescent="0.25">
      <c r="A403" s="899" t="s">
        <v>584</v>
      </c>
      <c r="B403" s="913" t="s">
        <v>1227</v>
      </c>
      <c r="C403" s="599">
        <v>2019</v>
      </c>
      <c r="D403" s="454" t="s">
        <v>722</v>
      </c>
      <c r="E403" s="914" t="s">
        <v>11</v>
      </c>
      <c r="F403" s="914" t="s">
        <v>951</v>
      </c>
      <c r="G403" s="946" t="s">
        <v>952</v>
      </c>
      <c r="H403" s="916">
        <v>21000</v>
      </c>
      <c r="I403" s="916">
        <v>0</v>
      </c>
      <c r="J403" s="543">
        <v>0</v>
      </c>
      <c r="K403" s="1901">
        <v>355.74</v>
      </c>
      <c r="L403" s="1448">
        <v>0</v>
      </c>
      <c r="M403" s="1448">
        <v>0</v>
      </c>
      <c r="N403" s="1493">
        <v>0</v>
      </c>
      <c r="O403" s="608">
        <v>0</v>
      </c>
      <c r="P403" s="918">
        <v>355.74</v>
      </c>
      <c r="Q403" s="608">
        <v>0</v>
      </c>
      <c r="R403" s="1494">
        <v>21000</v>
      </c>
      <c r="S403" s="1495">
        <v>-20644.259999999998</v>
      </c>
      <c r="T403" s="1494">
        <f t="shared" si="33"/>
        <v>355.7400000000016</v>
      </c>
      <c r="U403" s="919">
        <v>0</v>
      </c>
      <c r="V403" s="920">
        <v>6882</v>
      </c>
      <c r="W403" s="920">
        <v>6882</v>
      </c>
      <c r="X403" s="921">
        <v>6880.26</v>
      </c>
      <c r="Y403" s="922">
        <v>20644.259999999998</v>
      </c>
      <c r="Z403" s="947">
        <v>0</v>
      </c>
      <c r="AA403" s="608">
        <v>0</v>
      </c>
      <c r="AB403" s="918">
        <v>0</v>
      </c>
      <c r="AC403" s="608">
        <v>0</v>
      </c>
      <c r="AD403" s="947">
        <v>0</v>
      </c>
      <c r="AE403" s="359" t="s">
        <v>1311</v>
      </c>
      <c r="AF403" s="454" t="s">
        <v>19</v>
      </c>
      <c r="AG403" s="909" t="s">
        <v>208</v>
      </c>
      <c r="AH403" s="909" t="s">
        <v>513</v>
      </c>
      <c r="AI403" s="910" t="s">
        <v>513</v>
      </c>
    </row>
    <row r="404" spans="1:35" ht="25.5" x14ac:dyDescent="0.25">
      <c r="A404" s="218" t="s">
        <v>585</v>
      </c>
      <c r="B404" s="212" t="s">
        <v>494</v>
      </c>
      <c r="C404" s="222">
        <v>2019</v>
      </c>
      <c r="D404" s="5" t="s">
        <v>722</v>
      </c>
      <c r="E404" s="224" t="s">
        <v>595</v>
      </c>
      <c r="F404" s="224" t="s">
        <v>595</v>
      </c>
      <c r="G404" s="417" t="s">
        <v>586</v>
      </c>
      <c r="H404" s="220">
        <v>840</v>
      </c>
      <c r="I404" s="220">
        <v>0</v>
      </c>
      <c r="J404" s="1">
        <v>0</v>
      </c>
      <c r="K404" s="412">
        <v>0</v>
      </c>
      <c r="L404" s="839">
        <v>0</v>
      </c>
      <c r="M404" s="839">
        <v>0</v>
      </c>
      <c r="N404" s="1302">
        <v>0</v>
      </c>
      <c r="O404" s="225">
        <v>0</v>
      </c>
      <c r="P404" s="202">
        <v>0</v>
      </c>
      <c r="Q404" s="225">
        <v>0</v>
      </c>
      <c r="R404" s="1345">
        <v>0</v>
      </c>
      <c r="S404" s="1346">
        <v>0</v>
      </c>
      <c r="T404" s="1345">
        <f t="shared" si="33"/>
        <v>0</v>
      </c>
      <c r="U404" s="850">
        <v>0</v>
      </c>
      <c r="V404" s="201">
        <v>0</v>
      </c>
      <c r="W404" s="201">
        <v>840</v>
      </c>
      <c r="X404" s="17">
        <v>0</v>
      </c>
      <c r="Y404" s="263">
        <v>840</v>
      </c>
      <c r="Z404" s="253">
        <v>0</v>
      </c>
      <c r="AA404" s="225">
        <v>0</v>
      </c>
      <c r="AB404" s="202">
        <v>0</v>
      </c>
      <c r="AC404" s="225">
        <v>0</v>
      </c>
      <c r="AD404" s="253">
        <v>0</v>
      </c>
      <c r="AE404" s="936" t="s">
        <v>484</v>
      </c>
      <c r="AF404" s="5" t="s">
        <v>19</v>
      </c>
      <c r="AG404" s="223" t="s">
        <v>208</v>
      </c>
      <c r="AH404" s="223" t="s">
        <v>513</v>
      </c>
      <c r="AI404" s="169" t="s">
        <v>513</v>
      </c>
    </row>
    <row r="405" spans="1:35" ht="25.5" x14ac:dyDescent="0.25">
      <c r="A405" s="218" t="s">
        <v>587</v>
      </c>
      <c r="B405" s="212" t="s">
        <v>494</v>
      </c>
      <c r="C405" s="222">
        <v>2019</v>
      </c>
      <c r="D405" s="5" t="s">
        <v>722</v>
      </c>
      <c r="E405" s="224" t="s">
        <v>344</v>
      </c>
      <c r="F405" s="224" t="s">
        <v>344</v>
      </c>
      <c r="G405" s="417" t="s">
        <v>588</v>
      </c>
      <c r="H405" s="220">
        <v>1194.8499999999999</v>
      </c>
      <c r="I405" s="220">
        <v>0</v>
      </c>
      <c r="J405" s="1">
        <v>0</v>
      </c>
      <c r="K405" s="412">
        <v>0</v>
      </c>
      <c r="L405" s="839">
        <v>0</v>
      </c>
      <c r="M405" s="839">
        <v>0</v>
      </c>
      <c r="N405" s="1302">
        <v>0</v>
      </c>
      <c r="O405" s="225">
        <v>0</v>
      </c>
      <c r="P405" s="202">
        <v>0</v>
      </c>
      <c r="Q405" s="225">
        <v>1000</v>
      </c>
      <c r="R405" s="1345">
        <v>1000</v>
      </c>
      <c r="S405" s="1346">
        <v>0</v>
      </c>
      <c r="T405" s="1345">
        <f t="shared" si="33"/>
        <v>1000</v>
      </c>
      <c r="U405" s="850">
        <v>0</v>
      </c>
      <c r="V405" s="201">
        <v>0</v>
      </c>
      <c r="W405" s="201">
        <v>0</v>
      </c>
      <c r="X405" s="17">
        <v>0</v>
      </c>
      <c r="Y405" s="263">
        <v>0</v>
      </c>
      <c r="Z405" s="253">
        <v>0</v>
      </c>
      <c r="AA405" s="225">
        <v>0</v>
      </c>
      <c r="AB405" s="202">
        <v>0</v>
      </c>
      <c r="AC405" s="225">
        <v>194.85</v>
      </c>
      <c r="AD405" s="253">
        <v>0</v>
      </c>
      <c r="AE405" s="936" t="s">
        <v>484</v>
      </c>
      <c r="AF405" s="5" t="s">
        <v>43</v>
      </c>
      <c r="AG405" s="223" t="s">
        <v>732</v>
      </c>
      <c r="AH405" s="223" t="s">
        <v>514</v>
      </c>
      <c r="AI405" s="169" t="s">
        <v>514</v>
      </c>
    </row>
    <row r="406" spans="1:35" ht="51" x14ac:dyDescent="0.25">
      <c r="A406" s="899" t="s">
        <v>589</v>
      </c>
      <c r="B406" s="913" t="s">
        <v>1113</v>
      </c>
      <c r="C406" s="599">
        <v>2019</v>
      </c>
      <c r="D406" s="454" t="s">
        <v>722</v>
      </c>
      <c r="E406" s="914" t="s">
        <v>324</v>
      </c>
      <c r="F406" s="914" t="s">
        <v>324</v>
      </c>
      <c r="G406" s="1027" t="s">
        <v>636</v>
      </c>
      <c r="H406" s="916">
        <v>5800</v>
      </c>
      <c r="I406" s="916">
        <v>0</v>
      </c>
      <c r="J406" s="543">
        <v>3500</v>
      </c>
      <c r="K406" s="1901">
        <v>0</v>
      </c>
      <c r="L406" s="1448">
        <v>0</v>
      </c>
      <c r="M406" s="1448">
        <v>0</v>
      </c>
      <c r="N406" s="1493">
        <f>3500-3500</f>
        <v>0</v>
      </c>
      <c r="O406" s="608">
        <v>3500</v>
      </c>
      <c r="P406" s="918">
        <v>0</v>
      </c>
      <c r="Q406" s="608">
        <v>300</v>
      </c>
      <c r="R406" s="1494">
        <v>5800</v>
      </c>
      <c r="S406" s="1495">
        <v>-2000</v>
      </c>
      <c r="T406" s="1494">
        <f t="shared" si="33"/>
        <v>3800</v>
      </c>
      <c r="U406" s="919">
        <v>2000</v>
      </c>
      <c r="V406" s="920">
        <v>0</v>
      </c>
      <c r="W406" s="920">
        <v>0</v>
      </c>
      <c r="X406" s="921">
        <v>0</v>
      </c>
      <c r="Y406" s="922">
        <v>2000</v>
      </c>
      <c r="Z406" s="947">
        <v>0</v>
      </c>
      <c r="AA406" s="608">
        <v>0</v>
      </c>
      <c r="AB406" s="918">
        <v>0</v>
      </c>
      <c r="AC406" s="608">
        <v>0</v>
      </c>
      <c r="AD406" s="947">
        <v>0</v>
      </c>
      <c r="AE406" s="659" t="s">
        <v>1376</v>
      </c>
      <c r="AF406" s="454" t="s">
        <v>13</v>
      </c>
      <c r="AG406" s="909" t="s">
        <v>732</v>
      </c>
      <c r="AH406" s="909" t="s">
        <v>513</v>
      </c>
      <c r="AI406" s="910" t="s">
        <v>513</v>
      </c>
    </row>
    <row r="407" spans="1:35" ht="26.25" thickBot="1" x14ac:dyDescent="0.3">
      <c r="A407" s="248" t="s">
        <v>590</v>
      </c>
      <c r="B407" s="248" t="s">
        <v>494</v>
      </c>
      <c r="C407" s="226">
        <v>2019</v>
      </c>
      <c r="D407" s="125" t="s">
        <v>722</v>
      </c>
      <c r="E407" s="249" t="s">
        <v>435</v>
      </c>
      <c r="F407" s="249" t="s">
        <v>435</v>
      </c>
      <c r="G407" s="479" t="s">
        <v>953</v>
      </c>
      <c r="H407" s="250">
        <v>5900</v>
      </c>
      <c r="I407" s="250">
        <v>0</v>
      </c>
      <c r="J407" s="158">
        <v>0</v>
      </c>
      <c r="K407" s="835">
        <v>0</v>
      </c>
      <c r="L407" s="1250">
        <v>0</v>
      </c>
      <c r="M407" s="1250">
        <v>0</v>
      </c>
      <c r="N407" s="1303">
        <v>0</v>
      </c>
      <c r="O407" s="498">
        <v>0</v>
      </c>
      <c r="P407" s="502">
        <v>0</v>
      </c>
      <c r="Q407" s="498">
        <v>620</v>
      </c>
      <c r="R407" s="1362">
        <v>620</v>
      </c>
      <c r="S407" s="1363">
        <v>0</v>
      </c>
      <c r="T407" s="1362">
        <f t="shared" si="33"/>
        <v>620</v>
      </c>
      <c r="U407" s="845">
        <v>0</v>
      </c>
      <c r="V407" s="203">
        <v>2000</v>
      </c>
      <c r="W407" s="203">
        <v>3280</v>
      </c>
      <c r="X407" s="47">
        <v>0</v>
      </c>
      <c r="Y407" s="265">
        <v>5280</v>
      </c>
      <c r="Z407" s="251">
        <v>0</v>
      </c>
      <c r="AA407" s="498">
        <v>0</v>
      </c>
      <c r="AB407" s="502">
        <v>0</v>
      </c>
      <c r="AC407" s="498">
        <v>0</v>
      </c>
      <c r="AD407" s="251">
        <v>0</v>
      </c>
      <c r="AE407" s="876" t="s">
        <v>484</v>
      </c>
      <c r="AF407" s="125" t="s">
        <v>19</v>
      </c>
      <c r="AG407" s="255" t="s">
        <v>732</v>
      </c>
      <c r="AH407" s="255" t="s">
        <v>513</v>
      </c>
      <c r="AI407" s="245" t="s">
        <v>513</v>
      </c>
    </row>
    <row r="408" spans="1:35" s="474" customFormat="1" ht="25.5" x14ac:dyDescent="0.25">
      <c r="A408" s="212" t="s">
        <v>954</v>
      </c>
      <c r="B408" s="115" t="s">
        <v>1294</v>
      </c>
      <c r="C408" s="4">
        <v>2020</v>
      </c>
      <c r="D408" s="4" t="s">
        <v>990</v>
      </c>
      <c r="E408" s="214" t="s">
        <v>601</v>
      </c>
      <c r="F408" s="214" t="s">
        <v>601</v>
      </c>
      <c r="G408" s="786" t="s">
        <v>955</v>
      </c>
      <c r="H408" s="215">
        <v>5000</v>
      </c>
      <c r="I408" s="215">
        <v>0</v>
      </c>
      <c r="J408" s="1">
        <v>0</v>
      </c>
      <c r="K408" s="412">
        <v>0</v>
      </c>
      <c r="L408" s="412">
        <v>301.29000000000002</v>
      </c>
      <c r="M408" s="412">
        <v>0</v>
      </c>
      <c r="N408" s="1305">
        <v>0</v>
      </c>
      <c r="O408" s="217">
        <v>0</v>
      </c>
      <c r="P408" s="503"/>
      <c r="Q408" s="217">
        <v>5000</v>
      </c>
      <c r="R408" s="1343">
        <v>5000</v>
      </c>
      <c r="S408" s="1344">
        <v>0</v>
      </c>
      <c r="T408" s="1343">
        <f t="shared" si="33"/>
        <v>5000</v>
      </c>
      <c r="U408" s="849">
        <v>0</v>
      </c>
      <c r="V408" s="347">
        <v>0</v>
      </c>
      <c r="W408" s="347">
        <v>0</v>
      </c>
      <c r="X408" s="2">
        <v>0</v>
      </c>
      <c r="Y408" s="401">
        <v>0</v>
      </c>
      <c r="Z408" s="400">
        <v>0</v>
      </c>
      <c r="AA408" s="217">
        <v>0</v>
      </c>
      <c r="AB408" s="503">
        <v>0</v>
      </c>
      <c r="AC408" s="217">
        <v>0</v>
      </c>
      <c r="AD408" s="400">
        <v>0</v>
      </c>
      <c r="AE408" s="119" t="s">
        <v>484</v>
      </c>
      <c r="AF408" s="4" t="s">
        <v>43</v>
      </c>
      <c r="AG408" s="491" t="s">
        <v>732</v>
      </c>
      <c r="AH408" s="491" t="s">
        <v>514</v>
      </c>
      <c r="AI408" s="491" t="s">
        <v>514</v>
      </c>
    </row>
    <row r="409" spans="1:35" s="474" customFormat="1" ht="30" x14ac:dyDescent="0.25">
      <c r="A409" s="218" t="s">
        <v>956</v>
      </c>
      <c r="B409" s="85" t="s">
        <v>1137</v>
      </c>
      <c r="C409" s="5">
        <v>2020</v>
      </c>
      <c r="D409" s="5" t="s">
        <v>990</v>
      </c>
      <c r="E409" s="224" t="s">
        <v>957</v>
      </c>
      <c r="F409" s="224" t="s">
        <v>957</v>
      </c>
      <c r="G409" s="770" t="s">
        <v>1003</v>
      </c>
      <c r="H409" s="220">
        <v>3000</v>
      </c>
      <c r="I409" s="220">
        <v>0</v>
      </c>
      <c r="J409" s="1">
        <v>1096.81918</v>
      </c>
      <c r="K409" s="412">
        <v>783.44227000000001</v>
      </c>
      <c r="L409" s="412">
        <v>0</v>
      </c>
      <c r="M409" s="412">
        <v>0</v>
      </c>
      <c r="N409" s="1302">
        <v>0</v>
      </c>
      <c r="O409" s="225">
        <v>1096.81918</v>
      </c>
      <c r="P409" s="202">
        <f>0+783.44227</f>
        <v>783.44227000000001</v>
      </c>
      <c r="Q409" s="225">
        <f>903.18082-783.44227</f>
        <v>119.73855000000003</v>
      </c>
      <c r="R409" s="1345">
        <v>2000</v>
      </c>
      <c r="S409" s="1346">
        <v>0</v>
      </c>
      <c r="T409" s="1345">
        <f t="shared" si="33"/>
        <v>2000</v>
      </c>
      <c r="U409" s="850">
        <v>0</v>
      </c>
      <c r="V409" s="201">
        <v>0</v>
      </c>
      <c r="W409" s="201">
        <v>0</v>
      </c>
      <c r="X409" s="17">
        <v>0</v>
      </c>
      <c r="Y409" s="263">
        <v>0</v>
      </c>
      <c r="Z409" s="253">
        <v>0</v>
      </c>
      <c r="AA409" s="225">
        <v>1000</v>
      </c>
      <c r="AB409" s="202">
        <v>0</v>
      </c>
      <c r="AC409" s="225">
        <v>0</v>
      </c>
      <c r="AD409" s="253">
        <v>0</v>
      </c>
      <c r="AE409" s="936" t="s">
        <v>484</v>
      </c>
      <c r="AF409" s="5" t="s">
        <v>43</v>
      </c>
      <c r="AG409" s="223" t="s">
        <v>208</v>
      </c>
      <c r="AH409" s="223" t="s">
        <v>514</v>
      </c>
      <c r="AI409" s="169" t="s">
        <v>514</v>
      </c>
    </row>
    <row r="410" spans="1:35" s="644" customFormat="1" ht="30" x14ac:dyDescent="0.25">
      <c r="A410" s="1350" t="s">
        <v>958</v>
      </c>
      <c r="B410" s="1876" t="s">
        <v>1295</v>
      </c>
      <c r="C410" s="373">
        <v>2020</v>
      </c>
      <c r="D410" s="373" t="s">
        <v>990</v>
      </c>
      <c r="E410" s="693" t="s">
        <v>603</v>
      </c>
      <c r="F410" s="693" t="s">
        <v>603</v>
      </c>
      <c r="G410" s="1364" t="s">
        <v>959</v>
      </c>
      <c r="H410" s="695">
        <v>3312.3910000000001</v>
      </c>
      <c r="I410" s="1365">
        <v>0</v>
      </c>
      <c r="J410" s="677">
        <v>0</v>
      </c>
      <c r="K410" s="1379">
        <v>0</v>
      </c>
      <c r="L410" s="1379">
        <f>10.759+2989.241</f>
        <v>3000</v>
      </c>
      <c r="M410" s="1379">
        <v>0</v>
      </c>
      <c r="N410" s="1366">
        <v>0</v>
      </c>
      <c r="O410" s="1352">
        <v>0</v>
      </c>
      <c r="P410" s="1367">
        <v>0</v>
      </c>
      <c r="Q410" s="1367">
        <f>1500+1500</f>
        <v>3000</v>
      </c>
      <c r="R410" s="1354">
        <v>3000</v>
      </c>
      <c r="S410" s="1353">
        <v>0</v>
      </c>
      <c r="T410" s="1354">
        <f t="shared" si="33"/>
        <v>3000</v>
      </c>
      <c r="U410" s="1355">
        <v>0</v>
      </c>
      <c r="V410" s="1356">
        <v>0</v>
      </c>
      <c r="W410" s="1356">
        <v>0</v>
      </c>
      <c r="X410" s="645">
        <v>0</v>
      </c>
      <c r="Y410" s="1358">
        <v>0</v>
      </c>
      <c r="Z410" s="1368">
        <v>0</v>
      </c>
      <c r="AA410" s="1352">
        <v>0</v>
      </c>
      <c r="AB410" s="1367">
        <v>0</v>
      </c>
      <c r="AC410" s="1352">
        <v>312.39100000000002</v>
      </c>
      <c r="AD410" s="1368">
        <v>0</v>
      </c>
      <c r="AE410" s="1369" t="s">
        <v>484</v>
      </c>
      <c r="AF410" s="373" t="s">
        <v>535</v>
      </c>
      <c r="AG410" s="1360" t="s">
        <v>523</v>
      </c>
      <c r="AH410" s="1360" t="s">
        <v>514</v>
      </c>
      <c r="AI410" s="1361" t="s">
        <v>514</v>
      </c>
    </row>
    <row r="411" spans="1:35" s="474" customFormat="1" ht="30.75" thickBot="1" x14ac:dyDescent="0.3">
      <c r="A411" s="1382" t="s">
        <v>960</v>
      </c>
      <c r="B411" s="1383" t="s">
        <v>1458</v>
      </c>
      <c r="C411" s="1063">
        <v>2020</v>
      </c>
      <c r="D411" s="1063" t="s">
        <v>990</v>
      </c>
      <c r="E411" s="1384" t="s">
        <v>299</v>
      </c>
      <c r="F411" s="1384" t="s">
        <v>299</v>
      </c>
      <c r="G411" s="1385" t="s">
        <v>1122</v>
      </c>
      <c r="H411" s="1386">
        <v>6169.232</v>
      </c>
      <c r="I411" s="1386">
        <v>0</v>
      </c>
      <c r="J411" s="1917">
        <v>0</v>
      </c>
      <c r="K411" s="1412">
        <v>1593.1916100000001</v>
      </c>
      <c r="L411" s="1918">
        <f>370.6312+370.6312+363.14155</f>
        <v>1104.4039499999999</v>
      </c>
      <c r="M411" s="1412">
        <v>0</v>
      </c>
      <c r="N411" s="1387">
        <v>0</v>
      </c>
      <c r="O411" s="1388">
        <v>0</v>
      </c>
      <c r="P411" s="1389">
        <f>0+1593.19161</f>
        <v>1593.1916100000001</v>
      </c>
      <c r="Q411" s="1388">
        <f>6000-1593.19161</f>
        <v>4406.8083900000001</v>
      </c>
      <c r="R411" s="1390">
        <v>6000</v>
      </c>
      <c r="S411" s="1391">
        <v>0</v>
      </c>
      <c r="T411" s="1390">
        <f t="shared" si="33"/>
        <v>6000</v>
      </c>
      <c r="U411" s="1392">
        <v>0</v>
      </c>
      <c r="V411" s="1065">
        <v>0</v>
      </c>
      <c r="W411" s="1065">
        <v>0</v>
      </c>
      <c r="X411" s="646">
        <v>0</v>
      </c>
      <c r="Y411" s="1393">
        <v>0</v>
      </c>
      <c r="Z411" s="1394">
        <v>0</v>
      </c>
      <c r="AA411" s="1990">
        <v>0</v>
      </c>
      <c r="AB411" s="1389">
        <v>0</v>
      </c>
      <c r="AC411" s="1388">
        <v>169.232</v>
      </c>
      <c r="AD411" s="1394">
        <v>0</v>
      </c>
      <c r="AE411" s="808" t="s">
        <v>1313</v>
      </c>
      <c r="AF411" s="1063" t="s">
        <v>43</v>
      </c>
      <c r="AG411" s="1534" t="s">
        <v>208</v>
      </c>
      <c r="AH411" s="1534" t="s">
        <v>514</v>
      </c>
      <c r="AI411" s="1066" t="s">
        <v>514</v>
      </c>
    </row>
    <row r="412" spans="1:35" s="474" customFormat="1" ht="30" x14ac:dyDescent="0.25">
      <c r="A412" s="212" t="s">
        <v>1138</v>
      </c>
      <c r="B412" s="115" t="s">
        <v>494</v>
      </c>
      <c r="C412" s="4">
        <v>2020</v>
      </c>
      <c r="D412" s="1296" t="s">
        <v>1220</v>
      </c>
      <c r="E412" s="214" t="s">
        <v>11</v>
      </c>
      <c r="F412" s="214" t="s">
        <v>593</v>
      </c>
      <c r="G412" s="786" t="s">
        <v>1139</v>
      </c>
      <c r="H412" s="215">
        <v>4500</v>
      </c>
      <c r="I412" s="215">
        <v>0</v>
      </c>
      <c r="J412" s="1">
        <v>0</v>
      </c>
      <c r="K412" s="412">
        <v>0</v>
      </c>
      <c r="L412" s="412">
        <v>0</v>
      </c>
      <c r="M412" s="412">
        <v>0</v>
      </c>
      <c r="N412" s="1305">
        <v>0</v>
      </c>
      <c r="O412" s="217">
        <v>0</v>
      </c>
      <c r="P412" s="503">
        <v>0</v>
      </c>
      <c r="Q412" s="217">
        <v>0</v>
      </c>
      <c r="R412" s="1343">
        <v>0</v>
      </c>
      <c r="S412" s="1344">
        <v>0</v>
      </c>
      <c r="T412" s="1343">
        <f t="shared" si="33"/>
        <v>0</v>
      </c>
      <c r="U412" s="849">
        <v>0</v>
      </c>
      <c r="V412" s="347">
        <v>4500</v>
      </c>
      <c r="W412" s="347">
        <v>0</v>
      </c>
      <c r="X412" s="2">
        <v>0</v>
      </c>
      <c r="Y412" s="401">
        <v>4500</v>
      </c>
      <c r="Z412" s="400">
        <v>0</v>
      </c>
      <c r="AA412" s="217">
        <v>0</v>
      </c>
      <c r="AB412" s="503">
        <v>0</v>
      </c>
      <c r="AC412" s="217">
        <v>0</v>
      </c>
      <c r="AD412" s="400">
        <v>0</v>
      </c>
      <c r="AE412" s="934" t="s">
        <v>484</v>
      </c>
      <c r="AF412" s="4" t="s">
        <v>19</v>
      </c>
      <c r="AG412" s="491" t="s">
        <v>899</v>
      </c>
      <c r="AH412" s="491" t="s">
        <v>513</v>
      </c>
      <c r="AI412" s="787" t="s">
        <v>513</v>
      </c>
    </row>
    <row r="413" spans="1:35" s="474" customFormat="1" ht="30" x14ac:dyDescent="0.25">
      <c r="A413" s="62" t="s">
        <v>1140</v>
      </c>
      <c r="B413" s="85" t="s">
        <v>494</v>
      </c>
      <c r="C413" s="5">
        <v>2020</v>
      </c>
      <c r="D413" s="1294" t="s">
        <v>1220</v>
      </c>
      <c r="E413" s="222" t="s">
        <v>598</v>
      </c>
      <c r="F413" s="222" t="s">
        <v>598</v>
      </c>
      <c r="G413" s="1244" t="s">
        <v>1141</v>
      </c>
      <c r="H413" s="398">
        <v>1500</v>
      </c>
      <c r="I413" s="253">
        <v>0</v>
      </c>
      <c r="J413" s="782">
        <v>0</v>
      </c>
      <c r="K413" s="412">
        <v>0</v>
      </c>
      <c r="L413" s="315">
        <v>0</v>
      </c>
      <c r="M413" s="315">
        <v>0</v>
      </c>
      <c r="N413" s="1306">
        <v>0</v>
      </c>
      <c r="O413" s="841">
        <v>0</v>
      </c>
      <c r="P413" s="504">
        <v>0</v>
      </c>
      <c r="Q413" s="841">
        <v>0</v>
      </c>
      <c r="R413" s="1345">
        <v>0</v>
      </c>
      <c r="S413" s="1346">
        <v>0</v>
      </c>
      <c r="T413" s="1345">
        <f t="shared" si="33"/>
        <v>0</v>
      </c>
      <c r="U413" s="850">
        <v>0</v>
      </c>
      <c r="V413" s="201">
        <v>1500</v>
      </c>
      <c r="W413" s="201">
        <v>0</v>
      </c>
      <c r="X413" s="17">
        <v>0</v>
      </c>
      <c r="Y413" s="32">
        <v>1500</v>
      </c>
      <c r="Z413" s="31">
        <v>0</v>
      </c>
      <c r="AA413" s="225">
        <v>0</v>
      </c>
      <c r="AB413" s="202">
        <v>0</v>
      </c>
      <c r="AC413" s="225">
        <v>0</v>
      </c>
      <c r="AD413" s="253">
        <v>0</v>
      </c>
      <c r="AE413" s="936" t="s">
        <v>484</v>
      </c>
      <c r="AF413" s="222" t="s">
        <v>19</v>
      </c>
      <c r="AG413" s="223" t="s">
        <v>732</v>
      </c>
      <c r="AH413" s="223" t="s">
        <v>513</v>
      </c>
      <c r="AI413" s="169" t="s">
        <v>513</v>
      </c>
    </row>
    <row r="414" spans="1:35" s="756" customFormat="1" ht="30.75" thickBot="1" x14ac:dyDescent="0.3">
      <c r="A414" s="1517" t="s">
        <v>1207</v>
      </c>
      <c r="B414" s="1518" t="s">
        <v>494</v>
      </c>
      <c r="C414" s="1519">
        <v>2020</v>
      </c>
      <c r="D414" s="1520" t="s">
        <v>1220</v>
      </c>
      <c r="E414" s="1521" t="s">
        <v>11</v>
      </c>
      <c r="F414" s="1521" t="s">
        <v>11</v>
      </c>
      <c r="G414" s="1522" t="s">
        <v>1184</v>
      </c>
      <c r="H414" s="1210">
        <v>14000</v>
      </c>
      <c r="I414" s="1210">
        <v>0</v>
      </c>
      <c r="J414" s="544">
        <v>0</v>
      </c>
      <c r="K414" s="1906">
        <v>0</v>
      </c>
      <c r="L414" s="1906">
        <v>0</v>
      </c>
      <c r="M414" s="1906">
        <v>0</v>
      </c>
      <c r="N414" s="1523">
        <v>0</v>
      </c>
      <c r="O414" s="633">
        <v>0</v>
      </c>
      <c r="P414" s="1524">
        <v>0</v>
      </c>
      <c r="Q414" s="633">
        <v>0</v>
      </c>
      <c r="R414" s="1525">
        <v>7000</v>
      </c>
      <c r="S414" s="1526">
        <v>-7000</v>
      </c>
      <c r="T414" s="1525">
        <f>R414+S414</f>
        <v>0</v>
      </c>
      <c r="U414" s="1523">
        <v>0</v>
      </c>
      <c r="V414" s="1524">
        <v>7000</v>
      </c>
      <c r="W414" s="1524">
        <v>7000</v>
      </c>
      <c r="X414" s="1527">
        <v>0</v>
      </c>
      <c r="Y414" s="1527">
        <v>14000</v>
      </c>
      <c r="Z414" s="1527">
        <v>0</v>
      </c>
      <c r="AA414" s="1879">
        <v>0</v>
      </c>
      <c r="AB414" s="1524">
        <v>0</v>
      </c>
      <c r="AC414" s="633">
        <v>0</v>
      </c>
      <c r="AD414" s="1824">
        <v>0</v>
      </c>
      <c r="AE414" s="1473" t="s">
        <v>1312</v>
      </c>
      <c r="AF414" s="1519" t="s">
        <v>484</v>
      </c>
      <c r="AG414" s="1477" t="s">
        <v>491</v>
      </c>
      <c r="AH414" s="1477" t="s">
        <v>491</v>
      </c>
      <c r="AI414" s="1533" t="s">
        <v>491</v>
      </c>
    </row>
    <row r="415" spans="1:35" s="756" customFormat="1" ht="25.5" x14ac:dyDescent="0.25">
      <c r="A415" s="1132" t="s">
        <v>1280</v>
      </c>
      <c r="B415" s="962" t="s">
        <v>494</v>
      </c>
      <c r="C415" s="360">
        <v>2020</v>
      </c>
      <c r="D415" s="1866" t="s">
        <v>484</v>
      </c>
      <c r="E415" s="1371" t="s">
        <v>299</v>
      </c>
      <c r="F415" s="1371" t="s">
        <v>299</v>
      </c>
      <c r="G415" s="1372" t="s">
        <v>1281</v>
      </c>
      <c r="H415" s="1373">
        <v>1300</v>
      </c>
      <c r="I415" s="969">
        <v>0</v>
      </c>
      <c r="J415" s="390">
        <v>0</v>
      </c>
      <c r="K415" s="1963">
        <v>0</v>
      </c>
      <c r="L415" s="1258">
        <v>0</v>
      </c>
      <c r="M415" s="1258">
        <v>0</v>
      </c>
      <c r="N415" s="1528">
        <v>0</v>
      </c>
      <c r="O415" s="1529">
        <v>0</v>
      </c>
      <c r="P415" s="1530">
        <v>0</v>
      </c>
      <c r="Q415" s="1529">
        <v>1300</v>
      </c>
      <c r="R415" s="1531">
        <v>0</v>
      </c>
      <c r="S415" s="1532">
        <v>1300</v>
      </c>
      <c r="T415" s="1377">
        <f t="shared" si="33"/>
        <v>1300</v>
      </c>
      <c r="U415" s="966">
        <v>0</v>
      </c>
      <c r="V415" s="967">
        <v>0</v>
      </c>
      <c r="W415" s="967">
        <v>0</v>
      </c>
      <c r="X415" s="968">
        <v>0</v>
      </c>
      <c r="Y415" s="970">
        <v>0</v>
      </c>
      <c r="Z415" s="970">
        <v>0</v>
      </c>
      <c r="AA415" s="618">
        <v>0</v>
      </c>
      <c r="AB415" s="964">
        <v>0</v>
      </c>
      <c r="AC415" s="618">
        <v>0</v>
      </c>
      <c r="AD415" s="969">
        <v>0</v>
      </c>
      <c r="AE415" s="284" t="s">
        <v>1434</v>
      </c>
      <c r="AF415" s="1371" t="s">
        <v>43</v>
      </c>
      <c r="AG415" s="972" t="s">
        <v>208</v>
      </c>
      <c r="AH415" s="972" t="s">
        <v>514</v>
      </c>
      <c r="AI415" s="973" t="s">
        <v>514</v>
      </c>
    </row>
    <row r="416" spans="1:35" s="756" customFormat="1" ht="30" x14ac:dyDescent="0.25">
      <c r="A416" s="1132" t="s">
        <v>1282</v>
      </c>
      <c r="B416" s="962" t="s">
        <v>494</v>
      </c>
      <c r="C416" s="360">
        <v>2020</v>
      </c>
      <c r="D416" s="1866" t="s">
        <v>484</v>
      </c>
      <c r="E416" s="1371" t="s">
        <v>11</v>
      </c>
      <c r="F416" s="1371" t="s">
        <v>317</v>
      </c>
      <c r="G416" s="963" t="s">
        <v>1283</v>
      </c>
      <c r="H416" s="1373">
        <v>200000</v>
      </c>
      <c r="I416" s="969">
        <v>0</v>
      </c>
      <c r="J416" s="378">
        <v>0</v>
      </c>
      <c r="K416" s="1899">
        <v>0</v>
      </c>
      <c r="L416" s="1330">
        <v>0</v>
      </c>
      <c r="M416" s="1330">
        <v>0</v>
      </c>
      <c r="N416" s="1374">
        <v>0</v>
      </c>
      <c r="O416" s="1375">
        <v>0</v>
      </c>
      <c r="P416" s="1376">
        <v>0</v>
      </c>
      <c r="Q416" s="1375">
        <v>0</v>
      </c>
      <c r="R416" s="1377">
        <v>0</v>
      </c>
      <c r="S416" s="1378">
        <v>0</v>
      </c>
      <c r="T416" s="1377">
        <f t="shared" si="33"/>
        <v>0</v>
      </c>
      <c r="U416" s="966">
        <v>0</v>
      </c>
      <c r="V416" s="967">
        <v>0</v>
      </c>
      <c r="W416" s="967">
        <v>7000</v>
      </c>
      <c r="X416" s="968">
        <v>7000</v>
      </c>
      <c r="Y416" s="970">
        <v>14000</v>
      </c>
      <c r="Z416" s="970">
        <v>186000</v>
      </c>
      <c r="AA416" s="618">
        <v>0</v>
      </c>
      <c r="AB416" s="964">
        <v>0</v>
      </c>
      <c r="AC416" s="618">
        <v>0</v>
      </c>
      <c r="AD416" s="1896">
        <v>168000</v>
      </c>
      <c r="AE416" s="971" t="s">
        <v>1435</v>
      </c>
      <c r="AF416" s="1371" t="s">
        <v>19</v>
      </c>
      <c r="AG416" s="972" t="s">
        <v>1008</v>
      </c>
      <c r="AH416" s="972" t="s">
        <v>513</v>
      </c>
      <c r="AI416" s="973" t="s">
        <v>513</v>
      </c>
    </row>
    <row r="417" spans="1:35" s="756" customFormat="1" ht="18" x14ac:dyDescent="0.25">
      <c r="A417" s="1132" t="s">
        <v>1284</v>
      </c>
      <c r="B417" s="962" t="s">
        <v>494</v>
      </c>
      <c r="C417" s="360">
        <v>2020</v>
      </c>
      <c r="D417" s="1866" t="s">
        <v>484</v>
      </c>
      <c r="E417" s="1371" t="s">
        <v>11</v>
      </c>
      <c r="F417" s="1371" t="s">
        <v>1285</v>
      </c>
      <c r="G417" s="1372" t="s">
        <v>1286</v>
      </c>
      <c r="H417" s="1373">
        <v>55000</v>
      </c>
      <c r="I417" s="969">
        <v>0</v>
      </c>
      <c r="J417" s="378">
        <v>0</v>
      </c>
      <c r="K417" s="1899">
        <v>0</v>
      </c>
      <c r="L417" s="1330">
        <v>0</v>
      </c>
      <c r="M417" s="1330">
        <v>0</v>
      </c>
      <c r="N417" s="1374">
        <v>0</v>
      </c>
      <c r="O417" s="1375">
        <v>0</v>
      </c>
      <c r="P417" s="1376">
        <v>0</v>
      </c>
      <c r="Q417" s="1375">
        <v>0</v>
      </c>
      <c r="R417" s="1377">
        <v>0</v>
      </c>
      <c r="S417" s="1378">
        <v>0</v>
      </c>
      <c r="T417" s="1377">
        <f t="shared" si="33"/>
        <v>0</v>
      </c>
      <c r="U417" s="966">
        <v>0</v>
      </c>
      <c r="V417" s="967">
        <v>0</v>
      </c>
      <c r="W417" s="967">
        <v>5600</v>
      </c>
      <c r="X417" s="968">
        <v>0</v>
      </c>
      <c r="Y417" s="970">
        <v>5600</v>
      </c>
      <c r="Z417" s="970">
        <v>49400</v>
      </c>
      <c r="AA417" s="618">
        <v>0</v>
      </c>
      <c r="AB417" s="964">
        <v>0</v>
      </c>
      <c r="AC417" s="618">
        <v>0</v>
      </c>
      <c r="AD417" s="1896">
        <v>55000</v>
      </c>
      <c r="AE417" s="971" t="s">
        <v>1436</v>
      </c>
      <c r="AF417" s="1371" t="s">
        <v>19</v>
      </c>
      <c r="AG417" s="972" t="s">
        <v>1008</v>
      </c>
      <c r="AH417" s="972" t="s">
        <v>513</v>
      </c>
      <c r="AI417" s="973" t="s">
        <v>513</v>
      </c>
    </row>
    <row r="418" spans="1:35" s="756" customFormat="1" ht="18" x14ac:dyDescent="0.25">
      <c r="A418" s="1132" t="s">
        <v>1287</v>
      </c>
      <c r="B418" s="962" t="s">
        <v>494</v>
      </c>
      <c r="C418" s="360">
        <v>2020</v>
      </c>
      <c r="D418" s="1866" t="s">
        <v>484</v>
      </c>
      <c r="E418" s="1371" t="s">
        <v>11</v>
      </c>
      <c r="F418" s="1371" t="s">
        <v>957</v>
      </c>
      <c r="G418" s="1372" t="s">
        <v>1288</v>
      </c>
      <c r="H418" s="1373">
        <v>15000</v>
      </c>
      <c r="I418" s="969">
        <v>0</v>
      </c>
      <c r="J418" s="378">
        <v>0</v>
      </c>
      <c r="K418" s="1899">
        <v>0</v>
      </c>
      <c r="L418" s="1330">
        <v>0</v>
      </c>
      <c r="M418" s="1330">
        <v>0</v>
      </c>
      <c r="N418" s="1374">
        <v>0</v>
      </c>
      <c r="O418" s="1375">
        <v>0</v>
      </c>
      <c r="P418" s="1376">
        <v>0</v>
      </c>
      <c r="Q418" s="1375">
        <v>0</v>
      </c>
      <c r="R418" s="1377">
        <v>0</v>
      </c>
      <c r="S418" s="1378">
        <v>0</v>
      </c>
      <c r="T418" s="1377">
        <f t="shared" si="33"/>
        <v>0</v>
      </c>
      <c r="U418" s="966">
        <v>0</v>
      </c>
      <c r="V418" s="967">
        <v>0</v>
      </c>
      <c r="W418" s="967">
        <v>1500</v>
      </c>
      <c r="X418" s="968">
        <v>2700</v>
      </c>
      <c r="Y418" s="970">
        <v>4200</v>
      </c>
      <c r="Z418" s="970">
        <v>10800</v>
      </c>
      <c r="AA418" s="618">
        <v>0</v>
      </c>
      <c r="AB418" s="964">
        <v>0</v>
      </c>
      <c r="AC418" s="618">
        <v>0</v>
      </c>
      <c r="AD418" s="1896">
        <v>15000</v>
      </c>
      <c r="AE418" s="971" t="s">
        <v>1436</v>
      </c>
      <c r="AF418" s="1371" t="s">
        <v>19</v>
      </c>
      <c r="AG418" s="972" t="s">
        <v>1008</v>
      </c>
      <c r="AH418" s="972" t="s">
        <v>513</v>
      </c>
      <c r="AI418" s="973" t="s">
        <v>513</v>
      </c>
    </row>
    <row r="419" spans="1:35" s="756" customFormat="1" ht="18" x14ac:dyDescent="0.25">
      <c r="A419" s="1132" t="s">
        <v>1289</v>
      </c>
      <c r="B419" s="962" t="s">
        <v>494</v>
      </c>
      <c r="C419" s="360">
        <v>2020</v>
      </c>
      <c r="D419" s="1866" t="s">
        <v>484</v>
      </c>
      <c r="E419" s="1371" t="s">
        <v>11</v>
      </c>
      <c r="F419" s="1371" t="s">
        <v>302</v>
      </c>
      <c r="G419" s="1372" t="s">
        <v>1290</v>
      </c>
      <c r="H419" s="1373">
        <v>17000</v>
      </c>
      <c r="I419" s="969">
        <v>0</v>
      </c>
      <c r="J419" s="378">
        <v>0</v>
      </c>
      <c r="K419" s="1899">
        <v>0</v>
      </c>
      <c r="L419" s="1330">
        <v>0</v>
      </c>
      <c r="M419" s="1330">
        <v>0</v>
      </c>
      <c r="N419" s="1374">
        <v>0</v>
      </c>
      <c r="O419" s="1375">
        <v>0</v>
      </c>
      <c r="P419" s="1376">
        <v>0</v>
      </c>
      <c r="Q419" s="1375">
        <v>0</v>
      </c>
      <c r="R419" s="1377">
        <v>0</v>
      </c>
      <c r="S419" s="1378">
        <v>0</v>
      </c>
      <c r="T419" s="1377">
        <f t="shared" si="33"/>
        <v>0</v>
      </c>
      <c r="U419" s="966">
        <v>0</v>
      </c>
      <c r="V419" s="967">
        <v>0</v>
      </c>
      <c r="W419" s="967">
        <v>1000</v>
      </c>
      <c r="X419" s="968">
        <v>4000</v>
      </c>
      <c r="Y419" s="970">
        <v>5000</v>
      </c>
      <c r="Z419" s="970">
        <v>12000</v>
      </c>
      <c r="AA419" s="618">
        <v>0</v>
      </c>
      <c r="AB419" s="964">
        <v>0</v>
      </c>
      <c r="AC419" s="618">
        <v>0</v>
      </c>
      <c r="AD419" s="1896">
        <v>17000</v>
      </c>
      <c r="AE419" s="971" t="s">
        <v>1436</v>
      </c>
      <c r="AF419" s="1371" t="s">
        <v>19</v>
      </c>
      <c r="AG419" s="972" t="s">
        <v>1008</v>
      </c>
      <c r="AH419" s="972" t="s">
        <v>513</v>
      </c>
      <c r="AI419" s="973" t="s">
        <v>513</v>
      </c>
    </row>
    <row r="420" spans="1:35" s="756" customFormat="1" ht="30" x14ac:dyDescent="0.25">
      <c r="A420" s="1136" t="s">
        <v>1291</v>
      </c>
      <c r="B420" s="1153" t="s">
        <v>494</v>
      </c>
      <c r="C420" s="358">
        <v>2020</v>
      </c>
      <c r="D420" s="1925" t="s">
        <v>484</v>
      </c>
      <c r="E420" s="1926" t="s">
        <v>11</v>
      </c>
      <c r="F420" s="1926" t="s">
        <v>299</v>
      </c>
      <c r="G420" s="1927" t="s">
        <v>1292</v>
      </c>
      <c r="H420" s="1928">
        <v>42000</v>
      </c>
      <c r="I420" s="1929">
        <v>0</v>
      </c>
      <c r="J420" s="378">
        <v>0</v>
      </c>
      <c r="K420" s="1899">
        <v>0</v>
      </c>
      <c r="L420" s="1330">
        <v>0</v>
      </c>
      <c r="M420" s="1330">
        <v>0</v>
      </c>
      <c r="N420" s="1930">
        <v>0</v>
      </c>
      <c r="O420" s="1931">
        <v>0</v>
      </c>
      <c r="P420" s="1932">
        <v>0</v>
      </c>
      <c r="Q420" s="1931">
        <v>0</v>
      </c>
      <c r="R420" s="1644">
        <v>0</v>
      </c>
      <c r="S420" s="1645">
        <v>0</v>
      </c>
      <c r="T420" s="1644">
        <f t="shared" si="33"/>
        <v>0</v>
      </c>
      <c r="U420" s="1138">
        <v>0</v>
      </c>
      <c r="V420" s="1137">
        <v>0</v>
      </c>
      <c r="W420" s="1137">
        <v>0</v>
      </c>
      <c r="X420" s="979">
        <v>0</v>
      </c>
      <c r="Y420" s="1933">
        <v>0</v>
      </c>
      <c r="Z420" s="1933">
        <v>42000</v>
      </c>
      <c r="AA420" s="616">
        <v>0</v>
      </c>
      <c r="AB420" s="1992">
        <v>0</v>
      </c>
      <c r="AC420" s="616">
        <v>0</v>
      </c>
      <c r="AD420" s="1929">
        <v>0</v>
      </c>
      <c r="AE420" s="1934" t="s">
        <v>1293</v>
      </c>
      <c r="AF420" s="1926" t="s">
        <v>19</v>
      </c>
      <c r="AG420" s="1935" t="s">
        <v>836</v>
      </c>
      <c r="AH420" s="1935" t="s">
        <v>513</v>
      </c>
      <c r="AI420" s="1936" t="s">
        <v>513</v>
      </c>
    </row>
    <row r="421" spans="1:35" s="1107" customFormat="1" ht="19.5" customHeight="1" thickBot="1" x14ac:dyDescent="0.3">
      <c r="A421" s="156" t="s">
        <v>544</v>
      </c>
      <c r="B421" s="187" t="s">
        <v>544</v>
      </c>
      <c r="C421" s="54" t="s">
        <v>544</v>
      </c>
      <c r="D421" s="54" t="s">
        <v>544</v>
      </c>
      <c r="E421" s="870" t="s">
        <v>544</v>
      </c>
      <c r="F421" s="1245" t="s">
        <v>544</v>
      </c>
      <c r="G421" s="1867" t="s">
        <v>544</v>
      </c>
      <c r="H421" s="1868" t="s">
        <v>544</v>
      </c>
      <c r="I421" s="1868" t="s">
        <v>544</v>
      </c>
      <c r="J421" s="858" t="s">
        <v>544</v>
      </c>
      <c r="K421" s="858" t="s">
        <v>544</v>
      </c>
      <c r="L421" s="858" t="s">
        <v>544</v>
      </c>
      <c r="M421" s="858" t="s">
        <v>544</v>
      </c>
      <c r="N421" s="1869" t="s">
        <v>544</v>
      </c>
      <c r="O421" s="1870" t="s">
        <v>544</v>
      </c>
      <c r="P421" s="1871" t="s">
        <v>544</v>
      </c>
      <c r="Q421" s="1870" t="s">
        <v>544</v>
      </c>
      <c r="R421" s="1156" t="s">
        <v>544</v>
      </c>
      <c r="S421" s="862" t="s">
        <v>544</v>
      </c>
      <c r="T421" s="1146" t="s">
        <v>544</v>
      </c>
      <c r="U421" s="863" t="s">
        <v>544</v>
      </c>
      <c r="V421" s="864" t="s">
        <v>544</v>
      </c>
      <c r="W421" s="864" t="s">
        <v>544</v>
      </c>
      <c r="X421" s="865" t="s">
        <v>544</v>
      </c>
      <c r="Y421" s="1872" t="s">
        <v>544</v>
      </c>
      <c r="Z421" s="1868" t="s">
        <v>544</v>
      </c>
      <c r="AA421" s="1873" t="s">
        <v>544</v>
      </c>
      <c r="AB421" s="1874" t="s">
        <v>544</v>
      </c>
      <c r="AC421" s="1873" t="s">
        <v>544</v>
      </c>
      <c r="AD421" s="1868" t="s">
        <v>544</v>
      </c>
      <c r="AE421" s="1872" t="s">
        <v>544</v>
      </c>
      <c r="AF421" s="1245" t="s">
        <v>544</v>
      </c>
      <c r="AG421" s="1875" t="s">
        <v>544</v>
      </c>
      <c r="AH421" s="1875" t="s">
        <v>544</v>
      </c>
      <c r="AI421" s="1245" t="s">
        <v>544</v>
      </c>
    </row>
    <row r="422" spans="1:35" ht="41.25" customHeight="1" thickBot="1" x14ac:dyDescent="0.3">
      <c r="A422" s="705" t="s">
        <v>484</v>
      </c>
      <c r="B422" s="706" t="s">
        <v>484</v>
      </c>
      <c r="C422" s="139" t="s">
        <v>484</v>
      </c>
      <c r="D422" s="112" t="s">
        <v>484</v>
      </c>
      <c r="E422" s="139" t="s">
        <v>484</v>
      </c>
      <c r="F422" s="139" t="s">
        <v>484</v>
      </c>
      <c r="G422" s="788" t="s">
        <v>553</v>
      </c>
      <c r="H422" s="96">
        <f t="shared" ref="H422:Q422" si="34">SUM(H369:H421)</f>
        <v>560683.93487</v>
      </c>
      <c r="I422" s="96">
        <f t="shared" si="34"/>
        <v>16422.519469999999</v>
      </c>
      <c r="J422" s="259">
        <f>SUM(J369:J421)</f>
        <v>32889.215100000001</v>
      </c>
      <c r="K422" s="1898">
        <f>SUM(K369:K421)</f>
        <v>13808.298379999998</v>
      </c>
      <c r="L422" s="827">
        <f>SUM(L369:L421)</f>
        <v>10026.55625</v>
      </c>
      <c r="M422" s="1898">
        <f>SUM(M369:M421)</f>
        <v>2990.9967000000001</v>
      </c>
      <c r="N422" s="1249">
        <f t="shared" si="34"/>
        <v>10488.69456</v>
      </c>
      <c r="O422" s="96">
        <f t="shared" si="34"/>
        <v>22400.520939999999</v>
      </c>
      <c r="P422" s="96">
        <f t="shared" si="34"/>
        <v>13808.29838</v>
      </c>
      <c r="Q422" s="293">
        <f t="shared" si="34"/>
        <v>37109.978609999998</v>
      </c>
      <c r="R422" s="1160">
        <v>131464.96427000003</v>
      </c>
      <c r="S422" s="293">
        <f t="shared" ref="S422:AD422" si="35">SUM(S369:S421)</f>
        <v>-47657.47178</v>
      </c>
      <c r="T422" s="293">
        <f t="shared" si="35"/>
        <v>83807.492490000004</v>
      </c>
      <c r="U422" s="854">
        <f t="shared" si="35"/>
        <v>5061.0650000000005</v>
      </c>
      <c r="V422" s="855">
        <f t="shared" si="35"/>
        <v>38032.078529999999</v>
      </c>
      <c r="W422" s="855">
        <f t="shared" si="35"/>
        <v>62115.728000000003</v>
      </c>
      <c r="X422" s="684">
        <f t="shared" si="35"/>
        <v>49243.26</v>
      </c>
      <c r="Y422" s="293">
        <f t="shared" si="35"/>
        <v>154452.13153000001</v>
      </c>
      <c r="Z422" s="293">
        <f t="shared" si="35"/>
        <v>300200</v>
      </c>
      <c r="AA422" s="293">
        <f t="shared" si="35"/>
        <v>2897.17508</v>
      </c>
      <c r="AB422" s="855">
        <f t="shared" si="35"/>
        <v>0</v>
      </c>
      <c r="AC422" s="684">
        <f t="shared" si="35"/>
        <v>2904.6162999999997</v>
      </c>
      <c r="AD422" s="827">
        <f t="shared" si="35"/>
        <v>255000</v>
      </c>
      <c r="AE422" s="120" t="s">
        <v>1496</v>
      </c>
      <c r="AF422" s="97" t="s">
        <v>484</v>
      </c>
      <c r="AG422" s="513" t="s">
        <v>484</v>
      </c>
      <c r="AH422" s="254" t="s">
        <v>484</v>
      </c>
      <c r="AI422" s="102" t="s">
        <v>484</v>
      </c>
    </row>
    <row r="423" spans="1:35" ht="26.25" thickBot="1" x14ac:dyDescent="0.3">
      <c r="A423" s="1720" t="s">
        <v>327</v>
      </c>
      <c r="B423" s="1721" t="s">
        <v>328</v>
      </c>
      <c r="C423" s="630">
        <v>2018</v>
      </c>
      <c r="D423" s="630" t="s">
        <v>497</v>
      </c>
      <c r="E423" s="1722" t="s">
        <v>11</v>
      </c>
      <c r="F423" s="1722" t="s">
        <v>11</v>
      </c>
      <c r="G423" s="1723" t="s">
        <v>329</v>
      </c>
      <c r="H423" s="1724">
        <v>31100</v>
      </c>
      <c r="I423" s="1724">
        <v>2175.4562999999998</v>
      </c>
      <c r="J423" s="1724">
        <v>0</v>
      </c>
      <c r="K423" s="1969">
        <v>0</v>
      </c>
      <c r="L423" s="1907">
        <v>0</v>
      </c>
      <c r="M423" s="1725">
        <v>0</v>
      </c>
      <c r="N423" s="1726">
        <v>0</v>
      </c>
      <c r="O423" s="632">
        <v>0</v>
      </c>
      <c r="P423" s="1727">
        <v>0</v>
      </c>
      <c r="Q423" s="632">
        <v>4000</v>
      </c>
      <c r="R423" s="1728">
        <v>10000</v>
      </c>
      <c r="S423" s="1729">
        <v>-6000</v>
      </c>
      <c r="T423" s="1728">
        <f t="shared" ref="T423:T424" si="36">R423+S423</f>
        <v>4000</v>
      </c>
      <c r="U423" s="1726">
        <v>3000</v>
      </c>
      <c r="V423" s="1727">
        <v>5000</v>
      </c>
      <c r="W423" s="1727">
        <v>5000</v>
      </c>
      <c r="X423" s="1730">
        <v>3000</v>
      </c>
      <c r="Y423" s="1730">
        <v>16000</v>
      </c>
      <c r="Z423" s="1730">
        <v>8924.5437000000002</v>
      </c>
      <c r="AA423" s="1731">
        <v>0</v>
      </c>
      <c r="AB423" s="1727">
        <v>0</v>
      </c>
      <c r="AC423" s="632">
        <v>0</v>
      </c>
      <c r="AD423" s="1728">
        <v>0</v>
      </c>
      <c r="AE423" s="1474" t="s">
        <v>1410</v>
      </c>
      <c r="AF423" s="630" t="s">
        <v>19</v>
      </c>
      <c r="AG423" s="1732" t="s">
        <v>491</v>
      </c>
      <c r="AH423" s="1732" t="s">
        <v>491</v>
      </c>
      <c r="AI423" s="1733" t="s">
        <v>491</v>
      </c>
    </row>
    <row r="424" spans="1:35" s="756" customFormat="1" ht="32.25" customHeight="1" x14ac:dyDescent="0.25">
      <c r="A424" s="111" t="s">
        <v>1206</v>
      </c>
      <c r="B424" s="91" t="s">
        <v>494</v>
      </c>
      <c r="C424" s="53">
        <v>2020</v>
      </c>
      <c r="D424" s="1398" t="s">
        <v>1220</v>
      </c>
      <c r="E424" s="87" t="s">
        <v>11</v>
      </c>
      <c r="F424" s="87" t="s">
        <v>11</v>
      </c>
      <c r="G424" s="150" t="s">
        <v>1184</v>
      </c>
      <c r="H424" s="50">
        <v>2000</v>
      </c>
      <c r="I424" s="50">
        <v>0</v>
      </c>
      <c r="J424" s="50">
        <v>0</v>
      </c>
      <c r="K424" s="1307">
        <v>0</v>
      </c>
      <c r="L424" s="1307">
        <v>0</v>
      </c>
      <c r="M424" s="839">
        <v>0</v>
      </c>
      <c r="N424" s="1239">
        <v>0</v>
      </c>
      <c r="O424" s="99">
        <v>0</v>
      </c>
      <c r="P424" s="267">
        <v>0</v>
      </c>
      <c r="Q424" s="13">
        <v>1000</v>
      </c>
      <c r="R424" s="1266">
        <v>1000</v>
      </c>
      <c r="S424" s="1267">
        <v>0</v>
      </c>
      <c r="T424" s="1266">
        <f t="shared" si="36"/>
        <v>1000</v>
      </c>
      <c r="U424" s="1239">
        <v>0</v>
      </c>
      <c r="V424" s="267">
        <v>1000</v>
      </c>
      <c r="W424" s="267">
        <v>0</v>
      </c>
      <c r="X424" s="13">
        <v>0</v>
      </c>
      <c r="Y424" s="14">
        <v>1000</v>
      </c>
      <c r="Z424" s="13">
        <v>0</v>
      </c>
      <c r="AA424" s="51">
        <v>0</v>
      </c>
      <c r="AB424" s="267">
        <v>0</v>
      </c>
      <c r="AC424" s="99">
        <v>0</v>
      </c>
      <c r="AD424" s="2095">
        <v>0</v>
      </c>
      <c r="AE424" s="123" t="s">
        <v>484</v>
      </c>
      <c r="AF424" s="53" t="s">
        <v>484</v>
      </c>
      <c r="AG424" s="196" t="s">
        <v>491</v>
      </c>
      <c r="AH424" s="196" t="s">
        <v>491</v>
      </c>
      <c r="AI424" s="107" t="s">
        <v>491</v>
      </c>
    </row>
    <row r="425" spans="1:35" s="756" customFormat="1" ht="14.25" customHeight="1" thickBot="1" x14ac:dyDescent="0.3">
      <c r="A425" s="156" t="s">
        <v>544</v>
      </c>
      <c r="B425" s="187" t="s">
        <v>544</v>
      </c>
      <c r="C425" s="54" t="s">
        <v>544</v>
      </c>
      <c r="D425" s="54" t="s">
        <v>544</v>
      </c>
      <c r="E425" s="89" t="s">
        <v>544</v>
      </c>
      <c r="F425" s="89" t="s">
        <v>544</v>
      </c>
      <c r="G425" s="411" t="s">
        <v>544</v>
      </c>
      <c r="H425" s="858" t="s">
        <v>544</v>
      </c>
      <c r="I425" s="858" t="s">
        <v>544</v>
      </c>
      <c r="J425" s="858" t="s">
        <v>544</v>
      </c>
      <c r="K425" s="858" t="s">
        <v>544</v>
      </c>
      <c r="L425" s="858" t="s">
        <v>544</v>
      </c>
      <c r="M425" s="858" t="s">
        <v>544</v>
      </c>
      <c r="N425" s="1157" t="s">
        <v>544</v>
      </c>
      <c r="O425" s="868" t="s">
        <v>544</v>
      </c>
      <c r="P425" s="861" t="s">
        <v>544</v>
      </c>
      <c r="Q425" s="859" t="s">
        <v>544</v>
      </c>
      <c r="R425" s="1156" t="s">
        <v>544</v>
      </c>
      <c r="S425" s="884" t="s">
        <v>544</v>
      </c>
      <c r="T425" s="1156" t="s">
        <v>544</v>
      </c>
      <c r="U425" s="1157" t="s">
        <v>544</v>
      </c>
      <c r="V425" s="861" t="s">
        <v>544</v>
      </c>
      <c r="W425" s="861" t="s">
        <v>544</v>
      </c>
      <c r="X425" s="791" t="s">
        <v>544</v>
      </c>
      <c r="Y425" s="791" t="s">
        <v>544</v>
      </c>
      <c r="Z425" s="431" t="s">
        <v>544</v>
      </c>
      <c r="AA425" s="1181" t="s">
        <v>544</v>
      </c>
      <c r="AB425" s="861" t="s">
        <v>544</v>
      </c>
      <c r="AC425" s="859" t="s">
        <v>544</v>
      </c>
      <c r="AD425" s="431" t="s">
        <v>544</v>
      </c>
      <c r="AE425" s="791" t="s">
        <v>544</v>
      </c>
      <c r="AF425" s="54" t="s">
        <v>544</v>
      </c>
      <c r="AG425" s="195" t="s">
        <v>544</v>
      </c>
      <c r="AH425" s="195" t="s">
        <v>544</v>
      </c>
      <c r="AI425" s="186" t="s">
        <v>544</v>
      </c>
    </row>
    <row r="426" spans="1:35" ht="41.25" customHeight="1" thickBot="1" x14ac:dyDescent="0.3">
      <c r="A426" s="705" t="s">
        <v>484</v>
      </c>
      <c r="B426" s="706" t="s">
        <v>484</v>
      </c>
      <c r="C426" s="139" t="s">
        <v>484</v>
      </c>
      <c r="D426" s="112" t="s">
        <v>484</v>
      </c>
      <c r="E426" s="139" t="s">
        <v>484</v>
      </c>
      <c r="F426" s="139" t="s">
        <v>484</v>
      </c>
      <c r="G426" s="788" t="s">
        <v>552</v>
      </c>
      <c r="H426" s="96">
        <f t="shared" ref="H426:I426" si="37">SUM(H423:H425)</f>
        <v>33100</v>
      </c>
      <c r="I426" s="96">
        <f t="shared" si="37"/>
        <v>2175.4562999999998</v>
      </c>
      <c r="J426" s="96">
        <f>SUM(J423:J425)</f>
        <v>0</v>
      </c>
      <c r="K426" s="827">
        <f>SUM(K423:K425)</f>
        <v>0</v>
      </c>
      <c r="L426" s="827">
        <f>SUM(L423:L425)</f>
        <v>0</v>
      </c>
      <c r="M426" s="827">
        <f>SUM(M423:M425)</f>
        <v>0</v>
      </c>
      <c r="N426" s="1249">
        <f t="shared" ref="N426:AD426" si="38">SUM(N423:N425)</f>
        <v>0</v>
      </c>
      <c r="O426" s="96">
        <f t="shared" si="38"/>
        <v>0</v>
      </c>
      <c r="P426" s="96">
        <f t="shared" si="38"/>
        <v>0</v>
      </c>
      <c r="Q426" s="293">
        <f t="shared" si="38"/>
        <v>5000</v>
      </c>
      <c r="R426" s="293">
        <v>11000</v>
      </c>
      <c r="S426" s="293">
        <f t="shared" si="38"/>
        <v>-6000</v>
      </c>
      <c r="T426" s="293">
        <f t="shared" si="38"/>
        <v>5000</v>
      </c>
      <c r="U426" s="854">
        <f t="shared" si="38"/>
        <v>3000</v>
      </c>
      <c r="V426" s="855">
        <f t="shared" si="38"/>
        <v>6000</v>
      </c>
      <c r="W426" s="855">
        <f t="shared" si="38"/>
        <v>5000</v>
      </c>
      <c r="X426" s="684">
        <f t="shared" si="38"/>
        <v>3000</v>
      </c>
      <c r="Y426" s="293">
        <f t="shared" si="38"/>
        <v>17000</v>
      </c>
      <c r="Z426" s="293">
        <f t="shared" si="38"/>
        <v>8924.5437000000002</v>
      </c>
      <c r="AA426" s="293">
        <f t="shared" si="38"/>
        <v>0</v>
      </c>
      <c r="AB426" s="855">
        <f t="shared" si="38"/>
        <v>0</v>
      </c>
      <c r="AC426" s="684">
        <f t="shared" si="38"/>
        <v>0</v>
      </c>
      <c r="AD426" s="827">
        <f t="shared" si="38"/>
        <v>0</v>
      </c>
      <c r="AE426" s="120" t="s">
        <v>1485</v>
      </c>
      <c r="AF426" s="101" t="s">
        <v>484</v>
      </c>
      <c r="AG426" s="712" t="s">
        <v>484</v>
      </c>
      <c r="AH426" s="184" t="s">
        <v>484</v>
      </c>
      <c r="AI426" s="105" t="s">
        <v>484</v>
      </c>
    </row>
    <row r="427" spans="1:35" ht="41.25" customHeight="1" thickBot="1" x14ac:dyDescent="0.3">
      <c r="A427" s="2157" t="s">
        <v>330</v>
      </c>
      <c r="B427" s="2158"/>
      <c r="C427" s="2158"/>
      <c r="D427" s="2158"/>
      <c r="E427" s="2158"/>
      <c r="F427" s="2159"/>
      <c r="G427" s="790" t="s">
        <v>970</v>
      </c>
      <c r="H427" s="96">
        <f t="shared" ref="H427:Q427" si="39">SUM(H9+H28+H47+H190+H291+H328+H353+H359+H363+H368+H422+H426)</f>
        <v>8911705.4968608003</v>
      </c>
      <c r="I427" s="96">
        <f t="shared" si="39"/>
        <v>1508201.5994000002</v>
      </c>
      <c r="J427" s="96">
        <f t="shared" si="39"/>
        <v>235040.37258000002</v>
      </c>
      <c r="K427" s="827">
        <f t="shared" si="39"/>
        <v>200856.27151999998</v>
      </c>
      <c r="L427" s="827">
        <f t="shared" si="39"/>
        <v>162092.24208000005</v>
      </c>
      <c r="M427" s="827">
        <f t="shared" si="39"/>
        <v>17581.468270000001</v>
      </c>
      <c r="N427" s="293">
        <f t="shared" si="39"/>
        <v>96812.716970000009</v>
      </c>
      <c r="O427" s="96">
        <f t="shared" si="39"/>
        <v>138227.96278</v>
      </c>
      <c r="P427" s="292">
        <f t="shared" si="39"/>
        <v>200856.27151999998</v>
      </c>
      <c r="Q427" s="96">
        <f t="shared" si="39"/>
        <v>618404.8785300001</v>
      </c>
      <c r="R427" s="96">
        <v>1505582.0164699997</v>
      </c>
      <c r="S427" s="96">
        <f t="shared" ref="S427:AD427" si="40">SUM(S9+S28+S47+S190+S291+S328+S353+S359+S363+S368+S422+S426)</f>
        <v>-451280.18666999997</v>
      </c>
      <c r="T427" s="96">
        <f t="shared" si="40"/>
        <v>1054301.8298000002</v>
      </c>
      <c r="U427" s="854">
        <f t="shared" si="40"/>
        <v>286811.98864</v>
      </c>
      <c r="V427" s="855">
        <f t="shared" si="40"/>
        <v>434937.22263000003</v>
      </c>
      <c r="W427" s="855">
        <f t="shared" si="40"/>
        <v>672477.87958750001</v>
      </c>
      <c r="X427" s="292">
        <f t="shared" si="40"/>
        <v>657141.01276750013</v>
      </c>
      <c r="Y427" s="96">
        <f t="shared" si="40"/>
        <v>2051368.103625</v>
      </c>
      <c r="Z427" s="96">
        <f t="shared" si="40"/>
        <v>4069512.006385</v>
      </c>
      <c r="AA427" s="293">
        <f t="shared" si="40"/>
        <v>48639.111351799998</v>
      </c>
      <c r="AB427" s="855">
        <f t="shared" si="40"/>
        <v>18510</v>
      </c>
      <c r="AC427" s="684">
        <f t="shared" si="40"/>
        <v>161172.8463</v>
      </c>
      <c r="AD427" s="827">
        <f t="shared" si="40"/>
        <v>2471019</v>
      </c>
      <c r="AE427" s="120" t="s">
        <v>1497</v>
      </c>
      <c r="AF427" s="101" t="s">
        <v>484</v>
      </c>
      <c r="AG427" s="712" t="s">
        <v>484</v>
      </c>
      <c r="AH427" s="184" t="s">
        <v>484</v>
      </c>
      <c r="AI427" s="105" t="s">
        <v>484</v>
      </c>
    </row>
    <row r="428" spans="1:35" x14ac:dyDescent="0.25">
      <c r="A428" s="142"/>
      <c r="B428" s="90"/>
      <c r="C428" s="57"/>
      <c r="D428" s="57"/>
      <c r="E428" s="57" t="s">
        <v>332</v>
      </c>
      <c r="F428" s="57"/>
      <c r="G428" s="58"/>
      <c r="H428" s="94"/>
      <c r="I428" s="95"/>
      <c r="J428" s="95"/>
      <c r="K428" s="1247"/>
      <c r="L428" s="1230"/>
      <c r="M428" s="1230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138"/>
      <c r="Z428" s="138"/>
      <c r="AA428" s="94"/>
      <c r="AB428" s="94"/>
      <c r="AC428" s="94"/>
      <c r="AD428" s="355"/>
      <c r="AE428" s="355"/>
      <c r="AF428" s="56"/>
      <c r="AG428" s="108"/>
      <c r="AH428" s="108"/>
      <c r="AI428" s="108"/>
    </row>
    <row r="429" spans="1:35" x14ac:dyDescent="0.25">
      <c r="A429" s="142"/>
      <c r="B429" s="90"/>
      <c r="C429" s="57"/>
      <c r="D429" s="57"/>
      <c r="E429" s="57"/>
      <c r="F429" s="57"/>
      <c r="G429" s="151"/>
      <c r="H429" s="795"/>
      <c r="I429" s="755"/>
      <c r="J429" s="355"/>
      <c r="K429" s="1827"/>
      <c r="L429" s="355"/>
      <c r="M429" s="1395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138"/>
      <c r="Z429" s="138"/>
      <c r="AA429" s="94"/>
      <c r="AB429" s="94"/>
      <c r="AC429" s="94"/>
      <c r="AD429" s="138"/>
      <c r="AE429" s="355"/>
      <c r="AF429" s="56"/>
      <c r="AG429" s="108"/>
      <c r="AH429" s="108"/>
      <c r="AI429" s="108"/>
    </row>
    <row r="430" spans="1:35" ht="15.75" thickBot="1" x14ac:dyDescent="0.3">
      <c r="A430" s="752"/>
      <c r="B430" s="753"/>
      <c r="C430" s="510"/>
      <c r="D430" s="510"/>
      <c r="E430" s="510"/>
      <c r="F430" s="510"/>
      <c r="G430" s="511"/>
      <c r="H430" s="58" t="s">
        <v>332</v>
      </c>
      <c r="I430" s="58"/>
      <c r="J430" s="754"/>
      <c r="K430" s="754"/>
      <c r="L430" s="754"/>
      <c r="M430" s="754"/>
      <c r="N430" s="1911"/>
      <c r="O430" s="58"/>
      <c r="P430" s="754"/>
      <c r="Q430" s="754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828"/>
      <c r="AE430" s="58"/>
      <c r="AF430" s="258"/>
      <c r="AG430" s="512"/>
      <c r="AH430" s="512"/>
      <c r="AI430" s="512"/>
    </row>
    <row r="431" spans="1:35" s="237" customFormat="1" ht="21.75" customHeight="1" x14ac:dyDescent="0.25">
      <c r="A431" s="2175" t="s">
        <v>331</v>
      </c>
      <c r="B431" s="2176"/>
      <c r="C431" s="2177"/>
      <c r="D431" s="2178"/>
      <c r="E431" s="57" t="s">
        <v>332</v>
      </c>
      <c r="F431" s="57"/>
      <c r="G431" s="57"/>
      <c r="H431" s="58" t="s">
        <v>332</v>
      </c>
      <c r="I431" s="58"/>
      <c r="J431" s="754"/>
      <c r="K431" s="754"/>
      <c r="L431" s="754"/>
      <c r="M431" s="754"/>
      <c r="N431" s="1911"/>
      <c r="O431" s="58"/>
      <c r="P431" s="754"/>
      <c r="Q431" s="754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828"/>
      <c r="AE431" s="58"/>
      <c r="AF431" s="108"/>
      <c r="AG431" s="108"/>
      <c r="AH431" s="108"/>
      <c r="AI431" s="108"/>
    </row>
    <row r="432" spans="1:35" ht="21.75" customHeight="1" x14ac:dyDescent="0.25">
      <c r="A432" s="2150" t="s">
        <v>482</v>
      </c>
      <c r="B432" s="2148"/>
      <c r="C432" s="2151" t="s">
        <v>333</v>
      </c>
      <c r="D432" s="2152"/>
      <c r="E432" s="57"/>
      <c r="F432" s="57"/>
      <c r="G432" s="58"/>
      <c r="H432" s="58" t="s">
        <v>332</v>
      </c>
      <c r="I432" s="58"/>
      <c r="J432" s="754"/>
      <c r="K432" s="754"/>
      <c r="L432" s="754"/>
      <c r="M432" s="754"/>
      <c r="N432" s="1911"/>
      <c r="O432" s="58"/>
      <c r="P432" s="754"/>
      <c r="Q432" s="754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828"/>
      <c r="AE432" s="58"/>
      <c r="AF432" s="794"/>
      <c r="AG432" s="794"/>
      <c r="AH432" s="794"/>
      <c r="AI432" s="794"/>
    </row>
    <row r="433" spans="1:35" ht="21.75" customHeight="1" x14ac:dyDescent="0.25">
      <c r="A433" s="2146" t="s">
        <v>334</v>
      </c>
      <c r="B433" s="2147"/>
      <c r="C433" s="2148" t="s">
        <v>420</v>
      </c>
      <c r="D433" s="2149"/>
      <c r="E433" s="57" t="s">
        <v>332</v>
      </c>
      <c r="F433" s="57"/>
      <c r="G433" s="58"/>
      <c r="H433" s="58" t="s">
        <v>332</v>
      </c>
      <c r="I433" s="58"/>
      <c r="J433" s="754"/>
      <c r="K433" s="754"/>
      <c r="L433" s="754"/>
      <c r="M433" s="754"/>
      <c r="N433" s="1911"/>
      <c r="O433" s="58"/>
      <c r="P433" s="754"/>
      <c r="Q433" s="754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828"/>
      <c r="AE433" s="58"/>
      <c r="AF433" s="108"/>
      <c r="AG433" s="108"/>
      <c r="AH433" s="108"/>
      <c r="AI433" s="108"/>
    </row>
    <row r="434" spans="1:35" ht="21.75" customHeight="1" x14ac:dyDescent="0.25">
      <c r="A434" s="2171" t="s">
        <v>335</v>
      </c>
      <c r="B434" s="2172"/>
      <c r="C434" s="2148" t="s">
        <v>336</v>
      </c>
      <c r="D434" s="2149"/>
      <c r="E434" s="57" t="s">
        <v>332</v>
      </c>
      <c r="F434" s="57"/>
      <c r="G434" s="58"/>
      <c r="H434" s="94"/>
      <c r="I434" s="95"/>
      <c r="J434" s="95"/>
      <c r="K434" s="1230"/>
      <c r="L434" s="1230"/>
      <c r="M434" s="1230"/>
      <c r="N434" s="94"/>
      <c r="O434" s="94"/>
      <c r="P434" s="94"/>
      <c r="Q434" s="94"/>
      <c r="R434" s="138"/>
      <c r="S434" s="138"/>
      <c r="T434" s="138"/>
      <c r="U434" s="138"/>
      <c r="V434" s="138"/>
      <c r="W434" s="138"/>
      <c r="X434" s="138"/>
      <c r="Y434" s="138"/>
      <c r="Z434" s="56"/>
      <c r="AA434" s="94"/>
      <c r="AB434" s="94"/>
      <c r="AC434" s="94"/>
      <c r="AD434" s="138"/>
      <c r="AE434" s="355" t="s">
        <v>332</v>
      </c>
      <c r="AF434" s="108"/>
      <c r="AG434" s="108"/>
      <c r="AH434" s="108"/>
      <c r="AI434" s="108"/>
    </row>
    <row r="435" spans="1:35" ht="30" customHeight="1" x14ac:dyDescent="0.25">
      <c r="A435" s="2173" t="s">
        <v>480</v>
      </c>
      <c r="B435" s="2174"/>
      <c r="C435" s="2148" t="s">
        <v>337</v>
      </c>
      <c r="D435" s="2149"/>
      <c r="E435" s="57"/>
      <c r="F435" s="57"/>
      <c r="G435" s="58"/>
      <c r="H435" s="94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4"/>
      <c r="AB435" s="94"/>
      <c r="AC435" s="94"/>
      <c r="AD435" s="138"/>
      <c r="AE435" s="355"/>
      <c r="AF435" s="108"/>
      <c r="AG435" s="108"/>
      <c r="AH435" s="108"/>
      <c r="AI435" s="108"/>
    </row>
    <row r="436" spans="1:35" ht="35.25" customHeight="1" thickBot="1" x14ac:dyDescent="0.3">
      <c r="A436" s="2167" t="s">
        <v>481</v>
      </c>
      <c r="B436" s="2168"/>
      <c r="C436" s="2169" t="s">
        <v>338</v>
      </c>
      <c r="D436" s="2170"/>
      <c r="E436" s="57"/>
      <c r="F436" s="57"/>
      <c r="G436" s="58"/>
      <c r="H436" s="94"/>
      <c r="I436" s="95"/>
      <c r="J436" s="95"/>
      <c r="K436" s="1230"/>
      <c r="L436" s="1230"/>
      <c r="M436" s="1230"/>
      <c r="N436" s="94"/>
      <c r="O436" s="94"/>
      <c r="P436" s="94"/>
      <c r="Q436" s="94"/>
      <c r="R436" s="138"/>
      <c r="S436" s="138"/>
      <c r="T436" s="138"/>
      <c r="U436" s="138"/>
      <c r="V436" s="138"/>
      <c r="W436" s="138"/>
      <c r="X436" s="138"/>
      <c r="Y436" s="138"/>
      <c r="Z436" s="56"/>
      <c r="AA436" s="94"/>
      <c r="AB436" s="94"/>
      <c r="AC436" s="94"/>
      <c r="AD436" s="138"/>
      <c r="AE436" s="355"/>
      <c r="AF436" s="108"/>
      <c r="AG436" s="108"/>
      <c r="AH436" s="108"/>
      <c r="AI436" s="108"/>
    </row>
    <row r="437" spans="1:35" ht="49.5" customHeight="1" thickBot="1" x14ac:dyDescent="0.3">
      <c r="A437" s="2164" t="s">
        <v>638</v>
      </c>
      <c r="B437" s="2165"/>
      <c r="C437" s="2165"/>
      <c r="D437" s="2166"/>
      <c r="E437" s="57"/>
      <c r="F437" s="57"/>
      <c r="G437" s="58"/>
      <c r="H437" s="94"/>
      <c r="I437" s="95"/>
      <c r="J437" s="95"/>
      <c r="K437" s="1230"/>
      <c r="L437" s="1230"/>
      <c r="M437" s="1230"/>
      <c r="N437" s="94"/>
      <c r="O437" s="94"/>
      <c r="P437" s="94"/>
      <c r="Q437" s="94"/>
      <c r="R437" s="138"/>
      <c r="S437" s="138"/>
      <c r="T437" s="138"/>
      <c r="U437" s="138"/>
      <c r="V437" s="138"/>
      <c r="W437" s="138"/>
      <c r="X437" s="138"/>
      <c r="Y437" s="138"/>
      <c r="Z437" s="56"/>
      <c r="AA437" s="94"/>
      <c r="AB437" s="94"/>
      <c r="AC437" s="94"/>
      <c r="AD437" s="138"/>
      <c r="AE437" s="355"/>
      <c r="AF437" s="108"/>
      <c r="AG437" s="108"/>
      <c r="AH437" s="108"/>
      <c r="AI437" s="108"/>
    </row>
    <row r="438" spans="1:35" ht="22.5" customHeight="1" thickBot="1" x14ac:dyDescent="0.3">
      <c r="E438" s="2097" t="s">
        <v>988</v>
      </c>
      <c r="F438" s="2098"/>
      <c r="G438" s="2099"/>
      <c r="H438" s="2100" t="s">
        <v>0</v>
      </c>
      <c r="I438" s="2101"/>
      <c r="J438"/>
      <c r="K438"/>
      <c r="L438"/>
      <c r="M438"/>
      <c r="P438"/>
      <c r="Q438"/>
    </row>
    <row r="439" spans="1:35" ht="22.5" customHeight="1" thickBot="1" x14ac:dyDescent="0.3">
      <c r="E439" s="2116" t="s">
        <v>1474</v>
      </c>
      <c r="F439" s="2117"/>
      <c r="G439" s="2102"/>
      <c r="H439" s="2103">
        <v>700000</v>
      </c>
      <c r="I439" s="2101"/>
      <c r="J439"/>
      <c r="K439"/>
      <c r="L439"/>
      <c r="M439"/>
      <c r="P439"/>
      <c r="Q439"/>
    </row>
    <row r="440" spans="1:35" ht="22.5" customHeight="1" thickBot="1" x14ac:dyDescent="0.3">
      <c r="E440" s="2116" t="s">
        <v>1233</v>
      </c>
      <c r="F440" s="2117"/>
      <c r="G440" s="2118"/>
      <c r="H440" s="2103">
        <v>354437</v>
      </c>
      <c r="I440" s="2101"/>
      <c r="J440"/>
      <c r="K440"/>
      <c r="L440"/>
      <c r="M440"/>
      <c r="P440"/>
      <c r="Q440"/>
    </row>
    <row r="441" spans="1:35" ht="40.5" customHeight="1" thickBot="1" x14ac:dyDescent="0.3">
      <c r="E441" s="2113" t="s">
        <v>1234</v>
      </c>
      <c r="F441" s="2114"/>
      <c r="G441" s="2115"/>
      <c r="H441" s="2104">
        <v>12810</v>
      </c>
      <c r="I441" s="2101"/>
      <c r="J441"/>
      <c r="K441"/>
      <c r="L441"/>
      <c r="M441"/>
      <c r="P441"/>
      <c r="Q441"/>
    </row>
    <row r="442" spans="1:35" ht="38.25" customHeight="1" thickBot="1" x14ac:dyDescent="0.3">
      <c r="E442" s="2113" t="s">
        <v>1475</v>
      </c>
      <c r="F442" s="2114"/>
      <c r="G442" s="2115"/>
      <c r="H442" s="2105">
        <v>32500</v>
      </c>
      <c r="I442" s="2101"/>
      <c r="J442"/>
      <c r="K442"/>
      <c r="L442"/>
      <c r="M442"/>
      <c r="P442"/>
      <c r="Q442"/>
    </row>
    <row r="443" spans="1:35" ht="38.25" customHeight="1" thickBot="1" x14ac:dyDescent="0.3">
      <c r="E443" s="2113" t="s">
        <v>1476</v>
      </c>
      <c r="F443" s="2114"/>
      <c r="G443" s="2115"/>
      <c r="H443" s="2103">
        <v>-42700</v>
      </c>
      <c r="I443" s="2101"/>
      <c r="J443"/>
      <c r="K443"/>
      <c r="L443"/>
      <c r="M443"/>
      <c r="P443"/>
      <c r="Q443"/>
    </row>
    <row r="444" spans="1:35" ht="38.25" customHeight="1" thickBot="1" x14ac:dyDescent="0.3">
      <c r="E444" s="2113" t="s">
        <v>1477</v>
      </c>
      <c r="F444" s="2114"/>
      <c r="G444" s="2115"/>
      <c r="H444" s="2103">
        <v>-1700</v>
      </c>
      <c r="I444" s="2101"/>
      <c r="J444"/>
      <c r="K444"/>
      <c r="L444"/>
      <c r="M444"/>
      <c r="P444"/>
      <c r="Q444"/>
    </row>
    <row r="445" spans="1:35" ht="38.25" customHeight="1" thickBot="1" x14ac:dyDescent="0.3">
      <c r="E445" s="2113" t="s">
        <v>1478</v>
      </c>
      <c r="F445" s="2114"/>
      <c r="G445" s="2115"/>
      <c r="H445" s="2103">
        <v>2000</v>
      </c>
      <c r="I445" s="2101"/>
      <c r="J445"/>
      <c r="K445"/>
      <c r="L445"/>
      <c r="M445"/>
      <c r="P445"/>
      <c r="Q445"/>
    </row>
    <row r="446" spans="1:35" ht="38.25" customHeight="1" thickBot="1" x14ac:dyDescent="0.3">
      <c r="E446" s="2113" t="s">
        <v>1479</v>
      </c>
      <c r="F446" s="2114"/>
      <c r="G446" s="2115"/>
      <c r="H446" s="2103">
        <v>1050</v>
      </c>
      <c r="I446" s="2101"/>
      <c r="J446"/>
      <c r="K446"/>
      <c r="L446"/>
      <c r="M446"/>
      <c r="P446"/>
      <c r="Q446"/>
    </row>
    <row r="447" spans="1:35" ht="36" customHeight="1" thickBot="1" x14ac:dyDescent="0.3">
      <c r="E447" s="2113" t="s">
        <v>1480</v>
      </c>
      <c r="F447" s="2114"/>
      <c r="G447" s="2115"/>
      <c r="H447" s="2103">
        <v>78005</v>
      </c>
      <c r="I447" s="2101"/>
      <c r="J447"/>
      <c r="K447"/>
      <c r="L447"/>
      <c r="M447"/>
      <c r="P447"/>
      <c r="Q447"/>
    </row>
    <row r="448" spans="1:35" ht="30" customHeight="1" thickBot="1" x14ac:dyDescent="0.3">
      <c r="E448" s="2113" t="s">
        <v>1481</v>
      </c>
      <c r="F448" s="2114"/>
      <c r="G448" s="2115"/>
      <c r="H448" s="2103">
        <v>25000</v>
      </c>
      <c r="I448" s="2101"/>
      <c r="J448"/>
      <c r="K448"/>
      <c r="L448"/>
      <c r="M448"/>
      <c r="P448"/>
      <c r="Q448"/>
    </row>
    <row r="449" spans="5:17" ht="38.25" customHeight="1" thickBot="1" x14ac:dyDescent="0.3">
      <c r="E449" s="2113" t="s">
        <v>1482</v>
      </c>
      <c r="F449" s="2114"/>
      <c r="G449" s="2115"/>
      <c r="H449" s="2103">
        <v>-200000</v>
      </c>
      <c r="I449" s="2101"/>
      <c r="J449"/>
      <c r="K449"/>
      <c r="L449"/>
      <c r="M449"/>
      <c r="P449"/>
      <c r="Q449"/>
    </row>
    <row r="450" spans="5:17" ht="22.5" customHeight="1" thickBot="1" x14ac:dyDescent="0.3">
      <c r="E450" s="2106" t="s">
        <v>339</v>
      </c>
      <c r="F450" s="2107"/>
      <c r="G450" s="2108"/>
      <c r="H450" s="2103">
        <v>961402</v>
      </c>
      <c r="I450" s="2101"/>
      <c r="J450"/>
      <c r="K450"/>
      <c r="L450"/>
      <c r="M450"/>
      <c r="P450"/>
      <c r="Q450"/>
    </row>
    <row r="451" spans="5:17" ht="22.5" customHeight="1" thickBot="1" x14ac:dyDescent="0.3">
      <c r="E451" s="2109"/>
      <c r="F451" s="2110"/>
      <c r="G451" s="2119"/>
      <c r="H451" s="2120"/>
      <c r="I451" s="2101"/>
      <c r="J451"/>
      <c r="K451"/>
      <c r="L451"/>
      <c r="M451"/>
      <c r="P451"/>
      <c r="Q451"/>
    </row>
    <row r="452" spans="5:17" ht="22.5" customHeight="1" thickBot="1" x14ac:dyDescent="0.3">
      <c r="E452" s="2121" t="s">
        <v>1483</v>
      </c>
      <c r="F452" s="2122"/>
      <c r="G452" s="2122"/>
      <c r="H452" s="2123"/>
      <c r="I452" s="2101"/>
      <c r="J452"/>
      <c r="K452"/>
      <c r="L452"/>
      <c r="M452"/>
      <c r="P452"/>
      <c r="Q452"/>
    </row>
    <row r="453" spans="5:17" ht="22.5" customHeight="1" thickBot="1" x14ac:dyDescent="0.3">
      <c r="E453" s="2116" t="s">
        <v>880</v>
      </c>
      <c r="F453" s="2117"/>
      <c r="G453" s="2111"/>
      <c r="H453" s="2105">
        <f>T427</f>
        <v>1054301.8298000002</v>
      </c>
      <c r="I453" s="2112"/>
      <c r="J453"/>
      <c r="K453"/>
      <c r="L453"/>
      <c r="M453"/>
      <c r="P453"/>
      <c r="Q453"/>
    </row>
  </sheetData>
  <autoFilter ref="A4:AI428" xr:uid="{00000000-0009-0000-0000-000002000000}"/>
  <mergeCells count="53">
    <mergeCell ref="N2:Q2"/>
    <mergeCell ref="I2:I3"/>
    <mergeCell ref="H2:H3"/>
    <mergeCell ref="L2:L3"/>
    <mergeCell ref="G2:G3"/>
    <mergeCell ref="M2:M3"/>
    <mergeCell ref="J2:J3"/>
    <mergeCell ref="K2:K3"/>
    <mergeCell ref="A437:D437"/>
    <mergeCell ref="A436:B436"/>
    <mergeCell ref="C436:D436"/>
    <mergeCell ref="A434:B434"/>
    <mergeCell ref="C434:D434"/>
    <mergeCell ref="A435:B435"/>
    <mergeCell ref="C435:D435"/>
    <mergeCell ref="A433:B433"/>
    <mergeCell ref="C433:D433"/>
    <mergeCell ref="A432:B432"/>
    <mergeCell ref="C432:D432"/>
    <mergeCell ref="C2:C3"/>
    <mergeCell ref="D2:D3"/>
    <mergeCell ref="A427:F427"/>
    <mergeCell ref="B2:B3"/>
    <mergeCell ref="E2:E3"/>
    <mergeCell ref="A431:D431"/>
    <mergeCell ref="A2:A3"/>
    <mergeCell ref="F2:F3"/>
    <mergeCell ref="AF1:AI1"/>
    <mergeCell ref="R2:T2"/>
    <mergeCell ref="AF2:AF3"/>
    <mergeCell ref="AI2:AI3"/>
    <mergeCell ref="AA2:AC2"/>
    <mergeCell ref="AG2:AG3"/>
    <mergeCell ref="Z2:Z3"/>
    <mergeCell ref="Y2:Y3"/>
    <mergeCell ref="U2:X2"/>
    <mergeCell ref="AD2:AD3"/>
    <mergeCell ref="AH2:AH3"/>
    <mergeCell ref="AE2:AE3"/>
    <mergeCell ref="E448:G448"/>
    <mergeCell ref="E449:G449"/>
    <mergeCell ref="G451:H451"/>
    <mergeCell ref="E452:H452"/>
    <mergeCell ref="E453:F453"/>
    <mergeCell ref="E444:G444"/>
    <mergeCell ref="E445:G445"/>
    <mergeCell ref="E446:G446"/>
    <mergeCell ref="E447:G447"/>
    <mergeCell ref="E439:F439"/>
    <mergeCell ref="E440:G440"/>
    <mergeCell ref="E441:G441"/>
    <mergeCell ref="E442:G442"/>
    <mergeCell ref="E443:G443"/>
  </mergeCells>
  <pageMargins left="0.70866141732283472" right="0.70866141732283472" top="0.78740157480314965" bottom="0.78740157480314965" header="0.31496062992125984" footer="0.31496062992125984"/>
  <pageSetup paperSize="8" scale="37" fitToHeight="0" orientation="landscape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č.4</vt:lpstr>
      <vt:lpstr>'AKTUÁLNÍ ZI zm. č.4'!Názvy_tisku</vt:lpstr>
      <vt:lpstr>'AKTUÁLNÍ ZI zm. č.4'!Oblast_tisku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2020-11-25T10:36:25Z</dcterms:modified>
</cp:coreProperties>
</file>