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<sst xmlns="http://schemas.openxmlformats.org/spreadsheetml/2006/main" count="90" uniqueCount="90">
  <si>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</si>
  <si>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</si>
  <si>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</si>
  <si>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</si>
  <si>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</si>
  <si>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</si>
  <si>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</si>
  <si>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</si>
  <si>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</si>
  <si>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</si>
  <si>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</si>
  <si>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</si>
  <si>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</si>
  <si>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</si>
  <si>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</si>
  <si>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</si>
  <si>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</si>
  <si>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</si>
  <si>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</si>
  <si>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</si>
  <si>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</si>
  <si>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</si>
  <si>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</si>
  <si>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</si>
  <si>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</si>
  <si>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</si>
  <si>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</si>
  <si>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</si>
  <si>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</si>
  <si>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</si>
  <si>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</si>
  <si>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</si>
  <si>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</si>
  <si>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</si>
  <si>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</si>
  <si>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</si>
  <si>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</si>
  <si>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</si>
  <si>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</si>
  <si>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</si>
  <si>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</si>
  <si>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</si>
  <si>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</si>
  <si>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</si>
  <si>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</si>
  <si>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</si>
  <si>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</si>
  <si>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</si>
  <si>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</si>
  <si>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</si>
  <si>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</si>
  <si>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</si>
  <si>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</si>
  <si>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</si>
  <si>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</si>
  <si>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</si>
  <si>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</si>
  <si>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</si>
  <si>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</si>
  <si>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</si>
  <si>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</si>
  <si>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</si>
  <si>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</si>
  <si>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</si>
  <si>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</si>
  <si>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</si>
  <si>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</si>
  <si>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</si>
  <si>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</si>
  <si>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</si>
  <si>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r. 2020</t>
  </si>
  <si>
    <t>13 - Krajský investor</t>
  </si>
  <si>
    <t>11 - Správa majetku</t>
  </si>
  <si>
    <t>r. 2021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</si>
  <si>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</si>
  <si>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</si>
  <si>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</si>
  <si>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</si>
  <si>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</si>
  <si>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27 - Digitalizace</t>
  </si>
  <si>
    <t>rok 2023 - rozpočet schválený usnesením Zastupitelstva kraje č. 011-20/2022/ZK ze dne 28.11.2022</t>
  </si>
  <si>
    <t>Časová řada - Schválené rozpočty Středočeského kraje v letech 2001 - 2023</t>
  </si>
  <si>
    <t>r. 2023</t>
  </si>
  <si>
    <t>rok 2021 - rozpočet schválený usnesením Zastupitelstva kraje č. 006-02/2020/ZK ze dne 14.12.2020</t>
  </si>
  <si>
    <t>rok 2020 - rozpočet schválený usnesením Zastupitelstva kraje č. 008-21/2019/ZK ze dne 25.11.2019</t>
  </si>
  <si>
    <t>rok 2019 - rozpočet schválený usnesením Zastupitelstva kraje č. 009-16/2018/ZK ze dne 26.11.2018</t>
  </si>
  <si>
    <t>rok 2018 - rozpočet schválený usnesením Zastupitelstva kraje č. 008-11/2017/ZK ze dne 5.12.2017</t>
  </si>
  <si>
    <t>rok 2017 - rozpočet schválený usnesením Zastupitelstva kraje č. 009-2/2016/ZK ze dne 19.12.2016</t>
  </si>
  <si>
    <t>rok 2016 - rozpočet schválený usnesením Zastupitelstva kraje č. 006-20/2015/ZK ze dne 7.12.2015</t>
  </si>
  <si>
    <t>rok 2015 - rozpočet schválený usnesením Zastupitelstva kraje č. 009-14/2014/ZK ze dne 8.12.2014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</si>
</sst>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4" fontId="0" fillId="37" borderId="21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2001 - 2023 - schválené rozpočty</a:t>
            </a:r>
          </a:p>
        </c:rich>
      </c:tx>
      <c:layout>
        <c:manualLayout>
          <c:xMode val="factor"/>
          <c:yMode val="factor"/>
          <c:x val="-0.07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5"/>
          <c:w val="0.87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SK'!$B$13:$X$13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SK'!$B$40:$X$40</c:f>
              <c:numCache/>
            </c:numRef>
          </c:val>
        </c:ser>
        <c:axId val="16000697"/>
        <c:axId val="9788546"/>
      </c:barChart>
      <c:cat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5525"/>
          <c:w val="0.20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76</xdr:row>
      <xdr:rowOff>114300</xdr:rowOff>
    </xdr:from>
    <xdr:to>
      <xdr:col>14</xdr:col>
      <xdr:colOff>419100</xdr:colOff>
      <xdr:row>111</xdr:row>
      <xdr:rowOff>66675</xdr:rowOff>
    </xdr:to>
    <xdr:graphicFrame>
      <xdr:nvGraphicFramePr>
        <xdr:cNvPr id="1" name="graf 1"/>
        <xdr:cNvGraphicFramePr/>
      </xdr:nvGraphicFramePr>
      <xdr:xfrm>
        <a:off x="4010025" y="12658725"/>
        <a:ext cx="9953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6"/>
  <sheetViews>
    <sheetView tabSelected="1" zoomScalePageLayoutView="0" workbookViewId="0" topLeftCell="A74">
      <pane xSplit="1" topLeftCell="B1" activePane="topRight" state="frozen"/>
      <selection pane="topLeft" activeCell="A1" sqref="A1"/>
      <selection pane="topRight" activeCell="A75" sqref="A75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4" width="12.7109375" style="0" customWidth="1"/>
    <col min="25" max="25" width="13.8515625" style="0" bestFit="1" customWidth="1"/>
    <col min="26" max="26" width="14.421875" style="0" bestFit="1" customWidth="1"/>
  </cols>
  <sheetData>
    <row r="3" spans="1:17" s="2" customFormat="1" ht="15.75">
      <c r="A3" s="90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"/>
      <c r="M3" s="32"/>
      <c r="N3" s="33"/>
      <c r="O3" s="33"/>
      <c r="P3" s="33"/>
      <c r="Q3" s="54"/>
    </row>
    <row r="5" spans="10:24" ht="13.5" thickBot="1">
      <c r="J5" s="8"/>
      <c r="K5" s="8"/>
      <c r="L5" s="8"/>
      <c r="U5" s="83"/>
      <c r="X5" s="83" t="s">
        <v>33</v>
      </c>
    </row>
    <row r="6" spans="1:24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43</v>
      </c>
      <c r="R6" s="59" t="s">
        <v>61</v>
      </c>
      <c r="S6" s="59" t="s">
        <v>62</v>
      </c>
      <c r="T6" s="59" t="s">
        <v>68</v>
      </c>
      <c r="U6" s="59" t="s">
        <v>70</v>
      </c>
      <c r="V6" s="59" t="s">
        <v>73</v>
      </c>
      <c r="W6" s="59" t="s">
        <v>77</v>
      </c>
      <c r="X6" s="84" t="s">
        <v>82</v>
      </c>
    </row>
    <row r="7" spans="1:24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58">
        <v>10963500</v>
      </c>
      <c r="X7" s="65">
        <v>13564000</v>
      </c>
    </row>
    <row r="8" spans="1:24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57">
        <v>10900000</v>
      </c>
      <c r="X8" s="66">
        <v>13500000</v>
      </c>
    </row>
    <row r="9" spans="1:24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57">
        <v>1314103</v>
      </c>
      <c r="X9" s="66">
        <v>1735854</v>
      </c>
    </row>
    <row r="10" spans="1:24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0">
        <v>8000</v>
      </c>
      <c r="X10" s="67">
        <v>16000</v>
      </c>
    </row>
    <row r="11" spans="1:24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 aca="true" t="shared" si="2" ref="S11:X11">S7+S9+S10</f>
        <v>9318580</v>
      </c>
      <c r="T11" s="61">
        <f t="shared" si="2"/>
        <v>11185517</v>
      </c>
      <c r="U11" s="61">
        <f t="shared" si="2"/>
        <v>12258168</v>
      </c>
      <c r="V11" s="61">
        <f t="shared" si="2"/>
        <v>10700032</v>
      </c>
      <c r="W11" s="61">
        <f t="shared" si="2"/>
        <v>12285603</v>
      </c>
      <c r="X11" s="85">
        <f t="shared" si="2"/>
        <v>15315854</v>
      </c>
    </row>
    <row r="12" spans="1:24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2">
        <v>23435304.2</v>
      </c>
      <c r="X12" s="68">
        <v>26703661.3</v>
      </c>
    </row>
    <row r="13" spans="1:26" s="1" customFormat="1" ht="13.5" thickBot="1">
      <c r="A13" s="76" t="s">
        <v>4</v>
      </c>
      <c r="B13" s="77">
        <f aca="true" t="shared" si="3" ref="B13:I13">SUM(B11:B12)</f>
        <v>84652</v>
      </c>
      <c r="C13" s="77">
        <f t="shared" si="3"/>
        <v>3425089</v>
      </c>
      <c r="D13" s="77">
        <f t="shared" si="3"/>
        <v>9683009</v>
      </c>
      <c r="E13" s="77">
        <f t="shared" si="3"/>
        <v>11424257</v>
      </c>
      <c r="F13" s="77">
        <f t="shared" si="3"/>
        <v>13138836</v>
      </c>
      <c r="G13" s="77">
        <f t="shared" si="3"/>
        <v>14027051</v>
      </c>
      <c r="H13" s="77">
        <f t="shared" si="3"/>
        <v>15389091</v>
      </c>
      <c r="I13" s="77">
        <f t="shared" si="3"/>
        <v>15123413</v>
      </c>
      <c r="J13" s="77">
        <f aca="true" t="shared" si="4" ref="J13:R13">SUM(J11:J12)</f>
        <v>15597313</v>
      </c>
      <c r="K13" s="77">
        <f t="shared" si="4"/>
        <v>15217447</v>
      </c>
      <c r="L13" s="77">
        <f t="shared" si="4"/>
        <v>15500045</v>
      </c>
      <c r="M13" s="77">
        <f t="shared" si="4"/>
        <v>15626836</v>
      </c>
      <c r="N13" s="78">
        <f t="shared" si="4"/>
        <v>15744880</v>
      </c>
      <c r="O13" s="78">
        <f t="shared" si="4"/>
        <v>15958906</v>
      </c>
      <c r="P13" s="78">
        <f t="shared" si="4"/>
        <v>17366809</v>
      </c>
      <c r="Q13" s="79">
        <f t="shared" si="4"/>
        <v>19107648.4</v>
      </c>
      <c r="R13" s="79">
        <f t="shared" si="4"/>
        <v>20215898.3</v>
      </c>
      <c r="S13" s="79">
        <f aca="true" t="shared" si="5" ref="S13:X13">SUM(S11:S12)</f>
        <v>23348201.8</v>
      </c>
      <c r="T13" s="79">
        <f t="shared" si="5"/>
        <v>27328100.9</v>
      </c>
      <c r="U13" s="79">
        <f t="shared" si="5"/>
        <v>31323576.9</v>
      </c>
      <c r="V13" s="79">
        <f t="shared" si="5"/>
        <v>31936641.2</v>
      </c>
      <c r="W13" s="79">
        <f t="shared" si="5"/>
        <v>35720907.2</v>
      </c>
      <c r="X13" s="86">
        <f t="shared" si="5"/>
        <v>42019515.3</v>
      </c>
      <c r="Y13" s="82"/>
      <c r="Z13" s="82"/>
    </row>
    <row r="14" spans="1:24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81"/>
    </row>
    <row r="15" spans="1:24" ht="13.5" customHeight="1">
      <c r="A15" s="19" t="s">
        <v>44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57">
        <f>105219+12000</f>
        <v>117219</v>
      </c>
      <c r="X15" s="66">
        <f>77358+10000</f>
        <v>87358</v>
      </c>
    </row>
    <row r="16" spans="1:24" ht="13.5" customHeight="1">
      <c r="A16" s="19" t="s">
        <v>45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57">
        <v>57032</v>
      </c>
      <c r="X16" s="66">
        <v>86704</v>
      </c>
    </row>
    <row r="17" spans="1:24" ht="14.25" customHeight="1">
      <c r="A17" s="19" t="s">
        <v>46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57">
        <v>55218</v>
      </c>
      <c r="X17" s="66">
        <v>59083</v>
      </c>
    </row>
    <row r="18" spans="1:24" ht="13.5" customHeight="1">
      <c r="A18" s="19" t="s">
        <v>47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57">
        <f>1720265+75000</f>
        <v>1795265</v>
      </c>
      <c r="X18" s="66">
        <f>2091408+40000</f>
        <v>2131408</v>
      </c>
    </row>
    <row r="19" spans="1:24" ht="13.5" customHeight="1">
      <c r="A19" s="19" t="s">
        <v>69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89">
        <f>813556+42500+23245000</f>
        <v>24101056</v>
      </c>
      <c r="X19" s="88">
        <f>1155417+40000+26225000</f>
        <v>27420417</v>
      </c>
    </row>
    <row r="20" spans="1:24" ht="13.5" customHeight="1">
      <c r="A20" s="19" t="s">
        <v>48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89">
        <f>452727+53000+10000+11500</f>
        <v>527227</v>
      </c>
      <c r="X20" s="88">
        <f>536669+51000+21500</f>
        <v>609169</v>
      </c>
    </row>
    <row r="21" spans="1:24" ht="13.5" customHeight="1">
      <c r="A21" s="19" t="s">
        <v>49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89">
        <f>859876+6000+191240+25000</f>
        <v>1082116</v>
      </c>
      <c r="X21" s="88">
        <f>929774+25000+191208+7000</f>
        <v>1152982</v>
      </c>
    </row>
    <row r="22" spans="1:24" ht="13.5" customHeight="1">
      <c r="A22" s="19" t="s">
        <v>50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89">
        <v>9250</v>
      </c>
      <c r="X22" s="88">
        <v>17350</v>
      </c>
    </row>
    <row r="23" spans="1:24" ht="13.5" customHeight="1">
      <c r="A23" s="19" t="s">
        <v>51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89"/>
      <c r="X23" s="88"/>
    </row>
    <row r="24" spans="1:24" ht="13.5" customHeight="1">
      <c r="A24" s="19" t="s">
        <v>52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89">
        <f>65830+40000+120000+15000+2000+20000+2000</f>
        <v>264830</v>
      </c>
      <c r="X24" s="88">
        <f>74252+40000+100000+10000+200</f>
        <v>224452</v>
      </c>
    </row>
    <row r="25" spans="1:24" ht="13.5" customHeight="1">
      <c r="A25" s="19" t="s">
        <v>60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89">
        <f>43001+20000+110000+10000+10000</f>
        <v>193001</v>
      </c>
      <c r="X25" s="88">
        <f>46011+10000+24000+110000+10000</f>
        <v>200011</v>
      </c>
    </row>
    <row r="26" spans="1:24" ht="13.5" customHeight="1">
      <c r="A26" s="19" t="s">
        <v>72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89">
        <v>14733</v>
      </c>
      <c r="X26" s="88">
        <v>20139</v>
      </c>
    </row>
    <row r="27" spans="1:24" ht="13.5" customHeight="1">
      <c r="A27" s="20" t="s">
        <v>53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89"/>
      <c r="X27" s="88"/>
    </row>
    <row r="28" spans="1:24" ht="13.5" customHeight="1">
      <c r="A28" s="20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89">
        <v>2290000</v>
      </c>
      <c r="X28" s="88">
        <f>600000+1296000</f>
        <v>1896000</v>
      </c>
    </row>
    <row r="29" spans="1:24" ht="13.5" customHeight="1">
      <c r="A29" s="20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89">
        <v>4929</v>
      </c>
      <c r="X29" s="88">
        <v>2974</v>
      </c>
    </row>
    <row r="30" spans="1:24" ht="13.5" customHeight="1">
      <c r="A30" s="20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57">
        <v>581459</v>
      </c>
      <c r="X30" s="66">
        <v>699662</v>
      </c>
    </row>
    <row r="31" spans="1:24" ht="13.5" customHeight="1">
      <c r="A31" s="19" t="s">
        <v>56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57">
        <v>2020</v>
      </c>
      <c r="X31" s="66">
        <v>2161</v>
      </c>
    </row>
    <row r="32" spans="1:24" ht="13.5" customHeight="1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57"/>
      <c r="X32" s="66">
        <v>50</v>
      </c>
    </row>
    <row r="33" spans="1:24" ht="13.5" customHeight="1">
      <c r="A33" s="19" t="s">
        <v>58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57">
        <f>389135+50500</f>
        <v>439635</v>
      </c>
      <c r="X33" s="66">
        <f>559847+55000</f>
        <v>614847</v>
      </c>
    </row>
    <row r="34" spans="1:24" ht="12.75" customHeight="1">
      <c r="A34" s="19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57">
        <v>3687</v>
      </c>
      <c r="X34" s="66">
        <v>3945</v>
      </c>
    </row>
    <row r="35" spans="1:24" ht="14.25" customHeight="1">
      <c r="A35" s="19" t="s">
        <v>59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57">
        <f>8550+20000+1360333+1011211+66703+891138+778399+82800+134213+55478.2+10000+371980+196583</f>
        <v>4987388.2</v>
      </c>
      <c r="X35" s="66">
        <f>9150+250000+100000+263030+20000+497240+349860+1296824+1097422+283703+214228+342215+47298.3+854000</f>
        <v>5624970.3</v>
      </c>
    </row>
    <row r="36" spans="1:24" ht="13.5" customHeight="1">
      <c r="A36" s="19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57">
        <v>6365</v>
      </c>
      <c r="X36" s="66">
        <v>6810</v>
      </c>
    </row>
    <row r="37" spans="1:24" ht="14.25" customHeight="1">
      <c r="A37" s="1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57">
        <f>17791+8500+45000+5000</f>
        <v>76291</v>
      </c>
      <c r="X37" s="66">
        <f>17699+5000+10000+42000</f>
        <v>74699</v>
      </c>
    </row>
    <row r="38" spans="1:24" ht="14.25" customHeight="1">
      <c r="A38" s="19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57">
        <f>3553037+20000</f>
        <v>3573037</v>
      </c>
      <c r="X38" s="66">
        <f>4096369+230000+50000+50000+15000+5000+380000+2000+20000-732000</f>
        <v>4116369</v>
      </c>
    </row>
    <row r="39" spans="1:24" ht="13.5" customHeight="1" thickBot="1">
      <c r="A39" s="87" t="s">
        <v>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0">
        <v>25250</v>
      </c>
      <c r="X39" s="67">
        <v>15000</v>
      </c>
    </row>
    <row r="40" spans="1:26" s="1" customFormat="1" ht="13.5" thickBot="1">
      <c r="A40" s="31" t="s">
        <v>5</v>
      </c>
      <c r="B40" s="10">
        <f aca="true" t="shared" si="6" ref="B40:R40">SUM(B15:B35)</f>
        <v>84652</v>
      </c>
      <c r="C40" s="10">
        <f t="shared" si="6"/>
        <v>3425089</v>
      </c>
      <c r="D40" s="10">
        <f t="shared" si="6"/>
        <v>9883009</v>
      </c>
      <c r="E40" s="10">
        <f t="shared" si="6"/>
        <v>11655135</v>
      </c>
      <c r="F40" s="10">
        <f t="shared" si="6"/>
        <v>13294156</v>
      </c>
      <c r="G40" s="10">
        <f t="shared" si="6"/>
        <v>14127051</v>
      </c>
      <c r="H40" s="10">
        <f t="shared" si="6"/>
        <v>15666534</v>
      </c>
      <c r="I40" s="10">
        <f t="shared" si="6"/>
        <v>17635937</v>
      </c>
      <c r="J40" s="10">
        <f t="shared" si="6"/>
        <v>18764474</v>
      </c>
      <c r="K40" s="10">
        <f t="shared" si="6"/>
        <v>15695789</v>
      </c>
      <c r="L40" s="10">
        <f t="shared" si="6"/>
        <v>16437544</v>
      </c>
      <c r="M40" s="10">
        <f t="shared" si="6"/>
        <v>16329790</v>
      </c>
      <c r="N40" s="36">
        <f t="shared" si="6"/>
        <v>15915393</v>
      </c>
      <c r="O40" s="36">
        <f t="shared" si="6"/>
        <v>15929419</v>
      </c>
      <c r="P40" s="36">
        <f t="shared" si="6"/>
        <v>17637322</v>
      </c>
      <c r="Q40" s="61">
        <f t="shared" si="6"/>
        <v>19078161.4</v>
      </c>
      <c r="R40" s="61">
        <f t="shared" si="6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61">
        <f>SUM(W15:W39)</f>
        <v>40207008.2</v>
      </c>
      <c r="X40" s="85">
        <f>SUM(X15:X39)</f>
        <v>45066560.3</v>
      </c>
      <c r="Y40" s="82"/>
      <c r="Z40" s="82"/>
    </row>
    <row r="41" spans="1:24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64"/>
      <c r="X41" s="70"/>
    </row>
    <row r="42" spans="1:26" s="1" customFormat="1" ht="13.5" thickBot="1">
      <c r="A42" s="31" t="s">
        <v>6</v>
      </c>
      <c r="B42" s="10">
        <f aca="true" t="shared" si="7" ref="B42:R42">B13-B40</f>
        <v>0</v>
      </c>
      <c r="C42" s="10">
        <f t="shared" si="7"/>
        <v>0</v>
      </c>
      <c r="D42" s="10">
        <f t="shared" si="7"/>
        <v>-200000</v>
      </c>
      <c r="E42" s="10">
        <f t="shared" si="7"/>
        <v>-230878</v>
      </c>
      <c r="F42" s="10">
        <f t="shared" si="7"/>
        <v>-155320</v>
      </c>
      <c r="G42" s="10">
        <f t="shared" si="7"/>
        <v>-100000</v>
      </c>
      <c r="H42" s="10">
        <f t="shared" si="7"/>
        <v>-277443</v>
      </c>
      <c r="I42" s="10">
        <f t="shared" si="7"/>
        <v>-2512524</v>
      </c>
      <c r="J42" s="10">
        <f t="shared" si="7"/>
        <v>-3167161</v>
      </c>
      <c r="K42" s="10">
        <f t="shared" si="7"/>
        <v>-478342</v>
      </c>
      <c r="L42" s="10">
        <f t="shared" si="7"/>
        <v>-937499</v>
      </c>
      <c r="M42" s="10">
        <f t="shared" si="7"/>
        <v>-702954</v>
      </c>
      <c r="N42" s="36">
        <f t="shared" si="7"/>
        <v>-170513</v>
      </c>
      <c r="O42" s="36">
        <f t="shared" si="7"/>
        <v>29487</v>
      </c>
      <c r="P42" s="36">
        <f t="shared" si="7"/>
        <v>-270513</v>
      </c>
      <c r="Q42" s="61">
        <f t="shared" si="7"/>
        <v>29487</v>
      </c>
      <c r="R42" s="61">
        <f t="shared" si="7"/>
        <v>229487</v>
      </c>
      <c r="S42" s="61">
        <f aca="true" t="shared" si="8" ref="S42:X42">S13-S40</f>
        <v>229487</v>
      </c>
      <c r="T42" s="61">
        <f t="shared" si="8"/>
        <v>229487</v>
      </c>
      <c r="U42" s="61">
        <f t="shared" si="8"/>
        <v>-460513</v>
      </c>
      <c r="V42" s="61">
        <f t="shared" si="8"/>
        <v>-1208754</v>
      </c>
      <c r="W42" s="61">
        <f t="shared" si="8"/>
        <v>-4486101</v>
      </c>
      <c r="X42" s="85">
        <f t="shared" si="8"/>
        <v>-3047045</v>
      </c>
      <c r="Y42" s="82"/>
      <c r="Z42" s="82"/>
    </row>
    <row r="43" spans="1:24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3"/>
      <c r="X43" s="69"/>
    </row>
    <row r="44" spans="1:24" ht="12.75">
      <c r="A44" s="20" t="s">
        <v>63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57">
        <v>1510000</v>
      </c>
      <c r="X44" s="66">
        <v>10000</v>
      </c>
    </row>
    <row r="45" spans="1:24" ht="12.75">
      <c r="A45" s="20" t="s">
        <v>74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57">
        <f>1856703+1437025+2000000</f>
        <v>5293728</v>
      </c>
      <c r="X45" s="66">
        <f>1579703+1389497+385472</f>
        <v>3354672</v>
      </c>
    </row>
    <row r="46" spans="1:24" ht="13.5" thickBot="1">
      <c r="A46" s="23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0">
        <f>-239487-78140-2000000</f>
        <v>-2317627</v>
      </c>
      <c r="X46" s="67">
        <f>-239487-78140</f>
        <v>-317627</v>
      </c>
    </row>
    <row r="47" spans="1:26" s="1" customFormat="1" ht="13.5" thickBot="1">
      <c r="A47" s="31" t="s">
        <v>7</v>
      </c>
      <c r="B47" s="10">
        <f aca="true" t="shared" si="9" ref="B47:J47">SUM(B44:B45)</f>
        <v>0</v>
      </c>
      <c r="C47" s="10">
        <f t="shared" si="9"/>
        <v>0</v>
      </c>
      <c r="D47" s="10">
        <f t="shared" si="9"/>
        <v>200000</v>
      </c>
      <c r="E47" s="10">
        <f t="shared" si="9"/>
        <v>230878</v>
      </c>
      <c r="F47" s="10">
        <f t="shared" si="9"/>
        <v>155320</v>
      </c>
      <c r="G47" s="10">
        <f t="shared" si="9"/>
        <v>100000</v>
      </c>
      <c r="H47" s="10">
        <f t="shared" si="9"/>
        <v>277443</v>
      </c>
      <c r="I47" s="10">
        <f t="shared" si="9"/>
        <v>2512524</v>
      </c>
      <c r="J47" s="10">
        <f t="shared" si="9"/>
        <v>3167161</v>
      </c>
      <c r="K47" s="10">
        <f aca="true" t="shared" si="10" ref="K47:X47">SUM(K44:K46)</f>
        <v>478342</v>
      </c>
      <c r="L47" s="10">
        <f t="shared" si="10"/>
        <v>937499</v>
      </c>
      <c r="M47" s="10">
        <f t="shared" si="10"/>
        <v>702954</v>
      </c>
      <c r="N47" s="36">
        <f t="shared" si="10"/>
        <v>170513</v>
      </c>
      <c r="O47" s="36">
        <f t="shared" si="10"/>
        <v>-29487</v>
      </c>
      <c r="P47" s="36">
        <f t="shared" si="10"/>
        <v>270513</v>
      </c>
      <c r="Q47" s="61">
        <f t="shared" si="10"/>
        <v>-29487</v>
      </c>
      <c r="R47" s="61">
        <f t="shared" si="10"/>
        <v>-229487</v>
      </c>
      <c r="S47" s="61">
        <f t="shared" si="10"/>
        <v>-229487</v>
      </c>
      <c r="T47" s="61">
        <f t="shared" si="10"/>
        <v>-229487</v>
      </c>
      <c r="U47" s="61">
        <f t="shared" si="10"/>
        <v>460513</v>
      </c>
      <c r="V47" s="61">
        <f t="shared" si="10"/>
        <v>1208754</v>
      </c>
      <c r="W47" s="61">
        <f>SUM(W44:W46)</f>
        <v>4486101</v>
      </c>
      <c r="X47" s="85">
        <f t="shared" si="10"/>
        <v>3047045</v>
      </c>
      <c r="Y47" s="82"/>
      <c r="Z47" s="82"/>
    </row>
    <row r="48" spans="1:24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64"/>
      <c r="X48" s="70"/>
    </row>
    <row r="49" spans="1:24" s="1" customFormat="1" ht="13.5" thickBot="1">
      <c r="A49" s="31" t="s">
        <v>8</v>
      </c>
      <c r="B49" s="10">
        <f aca="true" t="shared" si="11" ref="B49:J49">B42+B47</f>
        <v>0</v>
      </c>
      <c r="C49" s="10">
        <f t="shared" si="11"/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aca="true" t="shared" si="12" ref="K49:X49">SUM(K42+K47)</f>
        <v>0</v>
      </c>
      <c r="L49" s="10">
        <f t="shared" si="12"/>
        <v>0</v>
      </c>
      <c r="M49" s="10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61">
        <f t="shared" si="12"/>
        <v>0</v>
      </c>
      <c r="R49" s="61">
        <f t="shared" si="12"/>
        <v>0</v>
      </c>
      <c r="S49" s="61">
        <f t="shared" si="12"/>
        <v>0</v>
      </c>
      <c r="T49" s="61">
        <f t="shared" si="12"/>
        <v>0</v>
      </c>
      <c r="U49" s="61">
        <f t="shared" si="12"/>
        <v>0</v>
      </c>
      <c r="V49" s="61">
        <f t="shared" si="12"/>
        <v>0</v>
      </c>
      <c r="W49" s="61">
        <f>SUM(W42+W47)</f>
        <v>0</v>
      </c>
      <c r="X49" s="85">
        <f t="shared" si="12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89</v>
      </c>
    </row>
    <row r="67" ht="12.75">
      <c r="A67" s="15" t="s">
        <v>88</v>
      </c>
    </row>
    <row r="68" ht="12.75">
      <c r="A68" s="15" t="s">
        <v>87</v>
      </c>
    </row>
    <row r="69" ht="12.75">
      <c r="A69" s="15" t="s">
        <v>86</v>
      </c>
    </row>
    <row r="70" ht="12.75">
      <c r="A70" s="15" t="s">
        <v>85</v>
      </c>
    </row>
    <row r="71" ht="12.75">
      <c r="A71" s="15" t="s">
        <v>84</v>
      </c>
    </row>
    <row r="72" ht="12.75">
      <c r="A72" s="15" t="s">
        <v>83</v>
      </c>
    </row>
    <row r="73" ht="12.75">
      <c r="A73" s="15" t="s">
        <v>76</v>
      </c>
    </row>
    <row r="74" ht="12.75">
      <c r="A74" s="15" t="s">
        <v>80</v>
      </c>
    </row>
    <row r="76" ht="12.75">
      <c r="A76" s="80" t="s">
        <v>67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Egererová Eva</cp:lastModifiedBy>
  <cp:lastPrinted>2017-12-18T10:11:58Z</cp:lastPrinted>
  <dcterms:created xsi:type="dcterms:W3CDTF">2009-01-19T09:56:28Z</dcterms:created>
  <dcterms:modified xsi:type="dcterms:W3CDTF">2023-01-17T13:15:01Z</dcterms:modified>
  <cp:category/>
  <cp:version/>
  <cp:contentType/>
  <cp:contentStatus/>
</cp:coreProperties>
</file>