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T:\Oddeleni rozpoctu\ROZPOČET\SCHVÁLENÝ ROZPOČET\Rozpočet na rok 2024\"/>
    </mc:Choice>
  </mc:AlternateContent>
  <xr:revisionPtr revIDLastSave="0" documentId="13_ncr:1_{CBA1522F-EBE1-47A1-A865-BF89A70A98BE}" xr6:coauthVersionLast="47" xr6:coauthVersionMax="47" xr10:uidLastSave="{00000000-0000-0000-0000-000000000000}"/>
  <bookViews>
    <workbookView xWindow="-120" yWindow="-120" windowWidth="29040" windowHeight="15840" xr2:uid="{BB1711D0-41E9-4934-A550-691A0CF880A1}"/>
  </bookViews>
  <sheets>
    <sheet name="Úvodní strana" sheetId="135" r:id="rId1"/>
    <sheet name="Bilance" sheetId="12" r:id="rId2"/>
    <sheet name="Sumář příjmů a výdajů" sheetId="47" r:id="rId3"/>
    <sheet name="Fondy" sheetId="2" r:id="rId4"/>
    <sheet name="Projekty EU a NZ" sheetId="140" r:id="rId5"/>
    <sheet name="Dluhová služba " sheetId="16" r:id="rId6"/>
    <sheet name="Kapitálové výdaje " sheetId="80" r:id="rId7"/>
    <sheet name="Kapitálové výdaje v kapitolách" sheetId="144" r:id="rId8"/>
    <sheet name="Specifické rezervy" sheetId="136" r:id="rId9"/>
    <sheet name="Příspěvky PO" sheetId="134" r:id="rId10"/>
    <sheet name="Běžné výdaje kapitol" sheetId="4" r:id="rId11"/>
    <sheet name="01" sheetId="120" r:id="rId12"/>
    <sheet name="02" sheetId="113" r:id="rId13"/>
    <sheet name="03" sheetId="112" r:id="rId14"/>
    <sheet name="04" sheetId="126" r:id="rId15"/>
    <sheet name="05" sheetId="130" r:id="rId16"/>
    <sheet name="06" sheetId="127" r:id="rId17"/>
    <sheet name="07" sheetId="114" r:id="rId18"/>
    <sheet name="08" sheetId="133" r:id="rId19"/>
    <sheet name="09" sheetId="110" r:id="rId20"/>
    <sheet name="10" sheetId="118" r:id="rId21"/>
    <sheet name="11" sheetId="109" r:id="rId22"/>
    <sheet name="13" sheetId="125" r:id="rId23"/>
    <sheet name="14" sheetId="138" r:id="rId24"/>
    <sheet name="15" sheetId="115" r:id="rId25"/>
    <sheet name="16" sheetId="145" r:id="rId26"/>
    <sheet name="17" sheetId="131" r:id="rId27"/>
    <sheet name="18" sheetId="119" r:id="rId28"/>
    <sheet name="23" sheetId="121" r:id="rId29"/>
    <sheet name="24" sheetId="137" r:id="rId30"/>
    <sheet name="25" sheetId="117" r:id="rId31"/>
    <sheet name="26" sheetId="142" r:id="rId32"/>
    <sheet name="27" sheetId="141" r:id="rId33"/>
    <sheet name="Kapitoly - shrnutí BV" sheetId="81" r:id="rId34"/>
    <sheet name="Semafor" sheetId="82" r:id="rId35"/>
  </sheets>
  <definedNames>
    <definedName name="_xlnm._FilterDatabase" localSheetId="15" hidden="1">'05'!$A$4:$N$117</definedName>
    <definedName name="_xlnm._FilterDatabase" localSheetId="26" hidden="1">'17'!#REF!</definedName>
    <definedName name="_Hlk523909286" localSheetId="18">'08'!#REF!</definedName>
    <definedName name="_xlnm.Print_Titles" localSheetId="15">'05'!$5:$7</definedName>
    <definedName name="_xlnm.Print_Titles" localSheetId="16">'06'!$5:$7</definedName>
    <definedName name="_xlnm.Print_Titles" localSheetId="18">'08'!$6:$7</definedName>
    <definedName name="_xlnm.Print_Titles" localSheetId="22">'13'!$5:$7</definedName>
    <definedName name="_xlnm.Print_Titles" localSheetId="26">'17'!$5:$7</definedName>
    <definedName name="_xlnm.Print_Titles" localSheetId="9">'Příspěvky PO'!$2:$4</definedName>
    <definedName name="_xlnm.Print_Titles" localSheetId="2">'Sumář příjmů a výdajů'!$2:$8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134" l="1"/>
  <c r="L109" i="131"/>
  <c r="L91" i="131"/>
  <c r="L78" i="131"/>
  <c r="L73" i="131"/>
  <c r="L68" i="131"/>
  <c r="L63" i="131"/>
  <c r="L58" i="131"/>
  <c r="L52" i="131"/>
  <c r="L47" i="131"/>
  <c r="L42" i="131"/>
  <c r="L37" i="131"/>
  <c r="L32" i="131"/>
  <c r="L27" i="131"/>
  <c r="L22" i="131"/>
  <c r="L16" i="131"/>
  <c r="L9" i="131"/>
  <c r="H63" i="134"/>
  <c r="C63" i="134"/>
  <c r="D63" i="134"/>
  <c r="K115" i="131"/>
  <c r="J115" i="131"/>
  <c r="I115" i="131"/>
  <c r="L28" i="109"/>
  <c r="I27" i="114"/>
  <c r="L87" i="127"/>
  <c r="K87" i="127"/>
  <c r="J87" i="127"/>
  <c r="I87" i="127"/>
  <c r="L40" i="127"/>
  <c r="L115" i="130"/>
  <c r="L100" i="130"/>
  <c r="L66" i="130"/>
  <c r="L61" i="130"/>
  <c r="I115" i="130"/>
  <c r="I25" i="81" l="1"/>
  <c r="G14" i="134" l="1"/>
  <c r="F71" i="47"/>
  <c r="E71" i="47"/>
  <c r="H113" i="131" l="1"/>
  <c r="G113" i="131"/>
  <c r="G22" i="138" l="1"/>
  <c r="H21" i="118"/>
  <c r="H25" i="110"/>
  <c r="G25" i="110"/>
  <c r="L20" i="110"/>
  <c r="N20" i="110"/>
  <c r="G12" i="12" l="1"/>
  <c r="F12" i="12"/>
  <c r="E12" i="12"/>
  <c r="D12" i="12"/>
  <c r="C12" i="12"/>
  <c r="B12" i="12"/>
  <c r="F10" i="12"/>
  <c r="E10" i="12"/>
  <c r="D10" i="12"/>
  <c r="C10" i="12"/>
  <c r="B10" i="12"/>
  <c r="G10" i="12"/>
  <c r="G9" i="12"/>
  <c r="F9" i="12"/>
  <c r="E9" i="12"/>
  <c r="D9" i="12"/>
  <c r="C9" i="12"/>
  <c r="B9" i="12"/>
  <c r="G95" i="47"/>
  <c r="F95" i="47"/>
  <c r="E95" i="47"/>
  <c r="D95" i="47"/>
  <c r="C95" i="47"/>
  <c r="B95" i="47"/>
  <c r="G93" i="47"/>
  <c r="F93" i="47"/>
  <c r="E93" i="47"/>
  <c r="D93" i="47"/>
  <c r="C93" i="47"/>
  <c r="B93" i="47"/>
  <c r="G22" i="47"/>
  <c r="H22" i="47" s="1"/>
  <c r="G21" i="47"/>
  <c r="H21" i="47" s="1"/>
  <c r="L46" i="127"/>
  <c r="L39" i="127"/>
  <c r="I13" i="126"/>
  <c r="I15" i="126"/>
  <c r="I22" i="142" l="1"/>
  <c r="D14" i="136"/>
  <c r="H31" i="80" l="1"/>
  <c r="H32" i="80"/>
  <c r="C31" i="80"/>
  <c r="C32" i="80"/>
  <c r="C34" i="80"/>
  <c r="C36" i="80"/>
  <c r="M15" i="141"/>
  <c r="N15" i="141"/>
  <c r="C45" i="134" l="1"/>
  <c r="D45" i="134"/>
  <c r="E45" i="134"/>
  <c r="F45" i="134"/>
  <c r="B45" i="134"/>
  <c r="E38" i="134"/>
  <c r="E35" i="134"/>
  <c r="E36" i="134"/>
  <c r="C33" i="134"/>
  <c r="D33" i="134"/>
  <c r="E33" i="134"/>
  <c r="F33" i="134"/>
  <c r="B33" i="134"/>
  <c r="E14" i="134"/>
  <c r="C9" i="134"/>
  <c r="D9" i="134"/>
  <c r="E9" i="134"/>
  <c r="F9" i="134"/>
  <c r="B9" i="134"/>
  <c r="M10" i="81"/>
  <c r="K10" i="81"/>
  <c r="L10" i="81"/>
  <c r="J10" i="81"/>
  <c r="G20" i="81" l="1"/>
  <c r="H20" i="81"/>
  <c r="O13" i="81"/>
  <c r="P13" i="81"/>
  <c r="N13" i="81"/>
  <c r="K16" i="81"/>
  <c r="K15" i="81"/>
  <c r="L13" i="81"/>
  <c r="K13" i="81"/>
  <c r="J13" i="81"/>
  <c r="K25" i="81"/>
  <c r="L25" i="81"/>
  <c r="H16" i="2"/>
  <c r="L15" i="133"/>
  <c r="F52" i="47" l="1"/>
  <c r="E52" i="47"/>
  <c r="F29" i="12"/>
  <c r="F30" i="12"/>
  <c r="F21" i="12"/>
  <c r="E21" i="12"/>
  <c r="F67" i="47"/>
  <c r="E67" i="47"/>
  <c r="F53" i="47"/>
  <c r="E53" i="47"/>
  <c r="F48" i="47"/>
  <c r="E48" i="47"/>
  <c r="K15" i="141"/>
  <c r="L14" i="141"/>
  <c r="L15" i="141" s="1"/>
  <c r="J15" i="141"/>
  <c r="I15" i="141"/>
  <c r="H15" i="141"/>
  <c r="G15" i="141"/>
  <c r="F15" i="141"/>
  <c r="E15" i="141"/>
  <c r="D15" i="141"/>
  <c r="L10" i="117"/>
  <c r="M10" i="117" s="1"/>
  <c r="N14" i="141" l="1"/>
  <c r="N10" i="117"/>
  <c r="L26" i="110" l="1"/>
  <c r="N26" i="110"/>
  <c r="L24" i="110"/>
  <c r="N24" i="110" s="1"/>
  <c r="L19" i="110"/>
  <c r="N19" i="110" s="1"/>
  <c r="L10" i="110"/>
  <c r="N10" i="110" s="1"/>
  <c r="L20" i="133"/>
  <c r="N20" i="133" s="1"/>
  <c r="L114" i="130"/>
  <c r="N114" i="130" s="1"/>
  <c r="G67" i="127"/>
  <c r="H67" i="127"/>
  <c r="K67" i="127"/>
  <c r="M10" i="110" l="1"/>
  <c r="G64" i="127"/>
  <c r="L53" i="127"/>
  <c r="E52" i="127"/>
  <c r="F52" i="127"/>
  <c r="D47" i="134" s="1"/>
  <c r="G52" i="127"/>
  <c r="H52" i="127"/>
  <c r="I52" i="127"/>
  <c r="I56" i="127" s="1"/>
  <c r="J52" i="127"/>
  <c r="J56" i="127" s="1"/>
  <c r="K52" i="127"/>
  <c r="K56" i="127" s="1"/>
  <c r="D52" i="127"/>
  <c r="H56" i="127" l="1"/>
  <c r="F47" i="134"/>
  <c r="G56" i="127"/>
  <c r="E47" i="134"/>
  <c r="N53" i="127"/>
  <c r="G80" i="47"/>
  <c r="G28" i="12" s="1"/>
  <c r="G79" i="47"/>
  <c r="G77" i="47"/>
  <c r="C68" i="47" l="1"/>
  <c r="C23" i="47"/>
  <c r="G70" i="47"/>
  <c r="G61" i="47" l="1"/>
  <c r="G40" i="47"/>
  <c r="G39" i="47"/>
  <c r="L19" i="138"/>
  <c r="L15" i="138"/>
  <c r="K30" i="125"/>
  <c r="M30" i="125"/>
  <c r="K31" i="125"/>
  <c r="L31" i="125"/>
  <c r="M31" i="125"/>
  <c r="L14" i="109"/>
  <c r="L24" i="109"/>
  <c r="F25" i="16"/>
  <c r="G25" i="16"/>
  <c r="H25" i="16"/>
  <c r="I25" i="16"/>
  <c r="J25" i="16"/>
  <c r="F26" i="16"/>
  <c r="G26" i="16"/>
  <c r="H26" i="16"/>
  <c r="E66" i="47" s="1"/>
  <c r="I26" i="16"/>
  <c r="F66" i="47" s="1"/>
  <c r="J26" i="16"/>
  <c r="E26" i="16"/>
  <c r="E25" i="16"/>
  <c r="G66" i="47" l="1"/>
  <c r="N19" i="138"/>
  <c r="N15" i="138"/>
  <c r="L47" i="130"/>
  <c r="L48" i="130"/>
  <c r="C115" i="47"/>
  <c r="C118" i="47" s="1"/>
  <c r="B115" i="47"/>
  <c r="B118" i="47" s="1"/>
  <c r="C121" i="47"/>
  <c r="D121" i="47"/>
  <c r="E121" i="47"/>
  <c r="F121" i="47"/>
  <c r="C122" i="47"/>
  <c r="D122" i="47"/>
  <c r="E122" i="47"/>
  <c r="F122" i="47"/>
  <c r="C123" i="47"/>
  <c r="D123" i="47"/>
  <c r="E123" i="47"/>
  <c r="F123" i="47"/>
  <c r="C124" i="47"/>
  <c r="D124" i="47"/>
  <c r="E124" i="47"/>
  <c r="F124" i="47"/>
  <c r="B124" i="47"/>
  <c r="B123" i="47"/>
  <c r="B122" i="47"/>
  <c r="B121" i="47"/>
  <c r="C105" i="47"/>
  <c r="D105" i="47"/>
  <c r="E105" i="47"/>
  <c r="F105" i="47"/>
  <c r="B105" i="47"/>
  <c r="C104" i="47"/>
  <c r="D104" i="47"/>
  <c r="E104" i="47"/>
  <c r="F104" i="47"/>
  <c r="B104" i="47"/>
  <c r="C103" i="47"/>
  <c r="D103" i="47"/>
  <c r="E103" i="47"/>
  <c r="F103" i="47"/>
  <c r="B103" i="47"/>
  <c r="C107" i="47" l="1"/>
  <c r="B107" i="47"/>
  <c r="C125" i="47"/>
  <c r="C127" i="47" s="1"/>
  <c r="B125" i="47"/>
  <c r="B127" i="47" s="1"/>
  <c r="G37" i="47" l="1"/>
  <c r="G21" i="12" s="1"/>
  <c r="E32" i="109"/>
  <c r="F32" i="109"/>
  <c r="I32" i="109"/>
  <c r="J32" i="109"/>
  <c r="K32" i="109"/>
  <c r="L32" i="109"/>
  <c r="D32" i="109"/>
  <c r="E12" i="112"/>
  <c r="F12" i="112"/>
  <c r="G12" i="112"/>
  <c r="H12" i="112"/>
  <c r="I12" i="112"/>
  <c r="J12" i="112"/>
  <c r="K12" i="112"/>
  <c r="L12" i="112"/>
  <c r="D12" i="112"/>
  <c r="E19" i="120"/>
  <c r="F19" i="120"/>
  <c r="G19" i="120"/>
  <c r="H19" i="120"/>
  <c r="I19" i="120"/>
  <c r="J19" i="120"/>
  <c r="K19" i="120"/>
  <c r="D19" i="120"/>
  <c r="K10" i="125"/>
  <c r="M10" i="125" s="1"/>
  <c r="I60" i="140"/>
  <c r="G60" i="140"/>
  <c r="F60" i="140"/>
  <c r="E60" i="140"/>
  <c r="D60" i="140"/>
  <c r="C60" i="140"/>
  <c r="B48" i="140"/>
  <c r="H48" i="140" s="1"/>
  <c r="B36" i="140"/>
  <c r="H36" i="140" s="1"/>
  <c r="B28" i="140"/>
  <c r="H28" i="140" s="1"/>
  <c r="I41" i="140"/>
  <c r="G41" i="140"/>
  <c r="F41" i="140"/>
  <c r="E41" i="140"/>
  <c r="G57" i="47" s="1"/>
  <c r="G104" i="47" s="1"/>
  <c r="D41" i="140"/>
  <c r="C41" i="140"/>
  <c r="C21" i="140"/>
  <c r="D21" i="140"/>
  <c r="E21" i="140"/>
  <c r="G55" i="47" s="1"/>
  <c r="G103" i="47" s="1"/>
  <c r="F21" i="140"/>
  <c r="G21" i="140"/>
  <c r="I21" i="140"/>
  <c r="B9" i="140"/>
  <c r="H9" i="140" s="1"/>
  <c r="B59" i="140"/>
  <c r="B58" i="140"/>
  <c r="B57" i="140"/>
  <c r="B56" i="140"/>
  <c r="B55" i="140"/>
  <c r="B54" i="140"/>
  <c r="B53" i="140"/>
  <c r="B52" i="140"/>
  <c r="B51" i="140"/>
  <c r="B50" i="140"/>
  <c r="B49" i="140"/>
  <c r="B30" i="140"/>
  <c r="B31" i="140"/>
  <c r="B32" i="140"/>
  <c r="B33" i="140"/>
  <c r="B34" i="140"/>
  <c r="B35" i="140"/>
  <c r="B37" i="140"/>
  <c r="H37" i="140" s="1"/>
  <c r="B38" i="140"/>
  <c r="B39" i="140"/>
  <c r="B40" i="140"/>
  <c r="B29" i="140"/>
  <c r="P30" i="81"/>
  <c r="O30" i="81"/>
  <c r="H18" i="81"/>
  <c r="G18" i="81"/>
  <c r="G31" i="81"/>
  <c r="H31" i="81"/>
  <c r="E27" i="134"/>
  <c r="F27" i="134"/>
  <c r="E26" i="134"/>
  <c r="F26" i="134"/>
  <c r="D26" i="134"/>
  <c r="E25" i="134"/>
  <c r="F25" i="134"/>
  <c r="D25" i="134"/>
  <c r="E24" i="134"/>
  <c r="F24" i="134"/>
  <c r="D24" i="134"/>
  <c r="E23" i="134"/>
  <c r="F23" i="134"/>
  <c r="D23" i="134"/>
  <c r="E21" i="134"/>
  <c r="F21" i="134"/>
  <c r="D21" i="134"/>
  <c r="G60" i="47" l="1"/>
  <c r="G124" i="47"/>
  <c r="L10" i="125"/>
  <c r="B60" i="140"/>
  <c r="B41" i="140"/>
  <c r="L17" i="110"/>
  <c r="G13" i="110"/>
  <c r="G29" i="110" s="1"/>
  <c r="H13" i="110"/>
  <c r="H29" i="110" s="1"/>
  <c r="I13" i="110"/>
  <c r="I29" i="110" s="1"/>
  <c r="J13" i="110"/>
  <c r="J29" i="110" s="1"/>
  <c r="K13" i="110"/>
  <c r="K29" i="110" s="1"/>
  <c r="F13" i="110"/>
  <c r="G105" i="47" l="1"/>
  <c r="N17" i="110"/>
  <c r="I18" i="81"/>
  <c r="G25" i="134"/>
  <c r="L20" i="117"/>
  <c r="N20" i="117" s="1"/>
  <c r="L93" i="131"/>
  <c r="N93" i="131" s="1"/>
  <c r="L94" i="131"/>
  <c r="L95" i="131"/>
  <c r="L96" i="131"/>
  <c r="L97" i="131"/>
  <c r="N97" i="131" s="1"/>
  <c r="L98" i="131"/>
  <c r="N98" i="131" s="1"/>
  <c r="L99" i="131"/>
  <c r="N99" i="131" s="1"/>
  <c r="L100" i="131"/>
  <c r="N100" i="131" s="1"/>
  <c r="L101" i="131"/>
  <c r="N101" i="131" s="1"/>
  <c r="L102" i="131"/>
  <c r="L103" i="131"/>
  <c r="N103" i="131" s="1"/>
  <c r="L104" i="131"/>
  <c r="N104" i="131" s="1"/>
  <c r="L105" i="131"/>
  <c r="L106" i="131"/>
  <c r="L107" i="131"/>
  <c r="N107" i="131" s="1"/>
  <c r="L108" i="131"/>
  <c r="N108" i="131" s="1"/>
  <c r="N105" i="131"/>
  <c r="N96" i="131"/>
  <c r="N94" i="131"/>
  <c r="G109" i="131"/>
  <c r="L85" i="131"/>
  <c r="N95" i="131" l="1"/>
  <c r="N102" i="131"/>
  <c r="N106" i="131"/>
  <c r="L13" i="133" l="1"/>
  <c r="D68" i="47"/>
  <c r="B69" i="47"/>
  <c r="C69" i="47"/>
  <c r="D69" i="47"/>
  <c r="E69" i="47"/>
  <c r="G69" i="47" l="1"/>
  <c r="L13" i="141" l="1"/>
  <c r="D27" i="142"/>
  <c r="F27" i="142"/>
  <c r="G27" i="142"/>
  <c r="H27" i="142"/>
  <c r="J27" i="142"/>
  <c r="K27" i="142"/>
  <c r="I27" i="142"/>
  <c r="L30" i="142"/>
  <c r="L25" i="142"/>
  <c r="L18" i="142"/>
  <c r="L16" i="142"/>
  <c r="L10" i="142"/>
  <c r="G27" i="134" l="1"/>
  <c r="I31" i="81"/>
  <c r="N13" i="141"/>
  <c r="N16" i="142"/>
  <c r="L11" i="113" l="1"/>
  <c r="G22" i="113"/>
  <c r="G26" i="113"/>
  <c r="N11" i="113" l="1"/>
  <c r="L10" i="141" l="1"/>
  <c r="L11" i="141"/>
  <c r="L12" i="141"/>
  <c r="H22" i="138"/>
  <c r="I22" i="138"/>
  <c r="J22" i="138"/>
  <c r="K22" i="138"/>
  <c r="G68" i="47" l="1"/>
  <c r="L111" i="130"/>
  <c r="L110" i="130"/>
  <c r="L46" i="130"/>
  <c r="G49" i="130"/>
  <c r="G60" i="130" s="1"/>
  <c r="H49" i="130"/>
  <c r="H60" i="130" s="1"/>
  <c r="I49" i="130"/>
  <c r="I60" i="130" s="1"/>
  <c r="J49" i="130"/>
  <c r="J60" i="130" s="1"/>
  <c r="K49" i="130"/>
  <c r="K60" i="130" s="1"/>
  <c r="L10" i="130"/>
  <c r="L11" i="130"/>
  <c r="L12" i="130"/>
  <c r="N46" i="130" l="1"/>
  <c r="E21" i="118" l="1"/>
  <c r="N24" i="109" l="1"/>
  <c r="N14" i="109"/>
  <c r="F22" i="114" l="1"/>
  <c r="G22" i="114"/>
  <c r="H22" i="114"/>
  <c r="I22" i="114"/>
  <c r="J22" i="114"/>
  <c r="K22" i="114"/>
  <c r="L11" i="114"/>
  <c r="N11" i="114" s="1"/>
  <c r="K78" i="131" l="1"/>
  <c r="J78" i="131"/>
  <c r="I78" i="131"/>
  <c r="H78" i="131"/>
  <c r="G78" i="131"/>
  <c r="F78" i="131"/>
  <c r="E78" i="131"/>
  <c r="D78" i="131"/>
  <c r="K73" i="131"/>
  <c r="J73" i="131"/>
  <c r="I73" i="131"/>
  <c r="H73" i="131"/>
  <c r="G73" i="131"/>
  <c r="F73" i="131"/>
  <c r="E73" i="131"/>
  <c r="D73" i="131"/>
  <c r="K68" i="131"/>
  <c r="J68" i="131"/>
  <c r="I68" i="131"/>
  <c r="H68" i="131"/>
  <c r="G68" i="131"/>
  <c r="F68" i="131"/>
  <c r="E68" i="131"/>
  <c r="D68" i="131"/>
  <c r="K63" i="131"/>
  <c r="J63" i="131"/>
  <c r="I63" i="131"/>
  <c r="H63" i="131"/>
  <c r="G63" i="131"/>
  <c r="F63" i="131"/>
  <c r="E63" i="131"/>
  <c r="D63" i="131"/>
  <c r="K58" i="131"/>
  <c r="J58" i="131"/>
  <c r="I58" i="131"/>
  <c r="H58" i="131"/>
  <c r="G58" i="131"/>
  <c r="F58" i="131"/>
  <c r="E58" i="131"/>
  <c r="D58" i="131"/>
  <c r="K52" i="131"/>
  <c r="J52" i="131"/>
  <c r="I52" i="131"/>
  <c r="H52" i="131"/>
  <c r="G52" i="131"/>
  <c r="F52" i="131"/>
  <c r="E52" i="131"/>
  <c r="D52" i="131"/>
  <c r="K47" i="131"/>
  <c r="J47" i="131"/>
  <c r="I47" i="131"/>
  <c r="H47" i="131"/>
  <c r="G47" i="131"/>
  <c r="F47" i="131"/>
  <c r="E47" i="131"/>
  <c r="D47" i="131"/>
  <c r="K42" i="131"/>
  <c r="J42" i="131"/>
  <c r="I42" i="131"/>
  <c r="H42" i="131"/>
  <c r="G42" i="131"/>
  <c r="F42" i="131"/>
  <c r="E42" i="131"/>
  <c r="D42" i="131"/>
  <c r="K37" i="131"/>
  <c r="J37" i="131"/>
  <c r="I37" i="131"/>
  <c r="H37" i="131"/>
  <c r="G37" i="131"/>
  <c r="F37" i="131"/>
  <c r="E37" i="131"/>
  <c r="D37" i="131"/>
  <c r="K32" i="131"/>
  <c r="J32" i="131"/>
  <c r="I32" i="131"/>
  <c r="H32" i="131"/>
  <c r="G32" i="131"/>
  <c r="F32" i="131"/>
  <c r="E32" i="131"/>
  <c r="D32" i="131"/>
  <c r="E27" i="131"/>
  <c r="F27" i="131"/>
  <c r="G27" i="131"/>
  <c r="H27" i="131"/>
  <c r="I27" i="131"/>
  <c r="J27" i="131"/>
  <c r="K27" i="131"/>
  <c r="D27" i="131"/>
  <c r="E22" i="131"/>
  <c r="F22" i="131"/>
  <c r="G22" i="131"/>
  <c r="H22" i="131"/>
  <c r="I22" i="131"/>
  <c r="J22" i="131"/>
  <c r="K22" i="131"/>
  <c r="D22" i="131"/>
  <c r="E16" i="131"/>
  <c r="D16" i="131"/>
  <c r="G16" i="131"/>
  <c r="H16" i="131"/>
  <c r="I16" i="131"/>
  <c r="J16" i="131"/>
  <c r="K16" i="131"/>
  <c r="G9" i="131"/>
  <c r="H9" i="131"/>
  <c r="I9" i="131"/>
  <c r="J9" i="131"/>
  <c r="K9" i="131"/>
  <c r="F16" i="131"/>
  <c r="D9" i="131"/>
  <c r="E9" i="131"/>
  <c r="F9" i="131"/>
  <c r="D22" i="4" l="1"/>
  <c r="D27" i="4"/>
  <c r="D28" i="4"/>
  <c r="L17" i="117" l="1"/>
  <c r="K29" i="125"/>
  <c r="L21" i="133"/>
  <c r="L22" i="114"/>
  <c r="L23" i="114"/>
  <c r="L24" i="114"/>
  <c r="N100" i="130"/>
  <c r="L84" i="130"/>
  <c r="L74" i="127"/>
  <c r="L27" i="127"/>
  <c r="L26" i="127"/>
  <c r="F25" i="81"/>
  <c r="F20" i="81"/>
  <c r="M29" i="125" l="1"/>
  <c r="N74" i="127"/>
  <c r="G25" i="81"/>
  <c r="H25" i="81"/>
  <c r="G16" i="81"/>
  <c r="H16" i="81"/>
  <c r="F16" i="81"/>
  <c r="G15" i="81"/>
  <c r="H15" i="81"/>
  <c r="F15" i="81"/>
  <c r="D30" i="12" l="1"/>
  <c r="E30" i="12"/>
  <c r="D29" i="12"/>
  <c r="E29" i="12"/>
  <c r="C30" i="12"/>
  <c r="C29" i="12"/>
  <c r="G13" i="81" l="1"/>
  <c r="H13" i="81"/>
  <c r="F13" i="81"/>
  <c r="G11" i="81"/>
  <c r="H11" i="81"/>
  <c r="F11" i="81"/>
  <c r="B11" i="140"/>
  <c r="B12" i="140"/>
  <c r="B13" i="140"/>
  <c r="B14" i="140"/>
  <c r="B15" i="140"/>
  <c r="B16" i="140"/>
  <c r="B17" i="140"/>
  <c r="B18" i="140"/>
  <c r="B19" i="140"/>
  <c r="B20" i="140"/>
  <c r="B10" i="140"/>
  <c r="B21" i="140" l="1"/>
  <c r="E27" i="142" l="1"/>
  <c r="E83" i="131"/>
  <c r="E22" i="138"/>
  <c r="D17" i="114"/>
  <c r="E22" i="114"/>
  <c r="D22" i="114"/>
  <c r="L43" i="127"/>
  <c r="N43" i="127" l="1"/>
  <c r="D79" i="127"/>
  <c r="D47" i="127"/>
  <c r="D33" i="127"/>
  <c r="D28" i="127"/>
  <c r="E25" i="127"/>
  <c r="G83" i="131" l="1"/>
  <c r="D109" i="131"/>
  <c r="D91" i="131"/>
  <c r="D83" i="131"/>
  <c r="D115" i="131" s="1"/>
  <c r="D18" i="127"/>
  <c r="H25" i="130"/>
  <c r="G25" i="130"/>
  <c r="F25" i="130"/>
  <c r="B11" i="134"/>
  <c r="B12" i="134"/>
  <c r="B13" i="134"/>
  <c r="B14" i="134"/>
  <c r="B15" i="134"/>
  <c r="D11" i="134"/>
  <c r="D12" i="134"/>
  <c r="D13" i="134"/>
  <c r="D14" i="134"/>
  <c r="D15" i="134"/>
  <c r="I35" i="80"/>
  <c r="I32" i="80"/>
  <c r="I14" i="80"/>
  <c r="I17" i="80"/>
  <c r="I18" i="80"/>
  <c r="I20" i="80"/>
  <c r="I22" i="80"/>
  <c r="I23" i="80"/>
  <c r="I24" i="80"/>
  <c r="I26" i="80"/>
  <c r="E9" i="80"/>
  <c r="C9" i="80"/>
  <c r="G21" i="16"/>
  <c r="G18" i="16"/>
  <c r="G15" i="16"/>
  <c r="G12" i="16"/>
  <c r="G9" i="16"/>
  <c r="E24" i="16"/>
  <c r="E21" i="16"/>
  <c r="E18" i="16"/>
  <c r="E15" i="16"/>
  <c r="E12" i="16"/>
  <c r="E9" i="16"/>
  <c r="E23" i="2"/>
  <c r="H95" i="47"/>
  <c r="H98" i="47"/>
  <c r="C100" i="47"/>
  <c r="C109" i="47" s="1"/>
  <c r="B100" i="47"/>
  <c r="B109" i="47" s="1"/>
  <c r="H39" i="47"/>
  <c r="H40" i="47"/>
  <c r="H49" i="47"/>
  <c r="H50" i="47"/>
  <c r="H54" i="47"/>
  <c r="H55" i="47"/>
  <c r="H57" i="47"/>
  <c r="H60" i="47"/>
  <c r="H61" i="47"/>
  <c r="H62" i="47"/>
  <c r="H66" i="47"/>
  <c r="H68" i="47"/>
  <c r="H16" i="47"/>
  <c r="H17" i="47"/>
  <c r="H19" i="47"/>
  <c r="H20" i="47"/>
  <c r="H23" i="47"/>
  <c r="H27" i="47"/>
  <c r="H28" i="47"/>
  <c r="O31" i="81"/>
  <c r="P31" i="81"/>
  <c r="N31" i="81"/>
  <c r="L24" i="113"/>
  <c r="H14" i="81" l="1"/>
  <c r="H33" i="81" s="1"/>
  <c r="F22" i="134"/>
  <c r="F28" i="134" s="1"/>
  <c r="F14" i="81"/>
  <c r="F33" i="81" s="1"/>
  <c r="D22" i="134"/>
  <c r="D28" i="134" s="1"/>
  <c r="G14" i="81"/>
  <c r="G33" i="81" s="1"/>
  <c r="E22" i="134"/>
  <c r="E28" i="134" s="1"/>
  <c r="G24" i="16"/>
  <c r="L29" i="142"/>
  <c r="L26" i="142"/>
  <c r="N26" i="142" s="1"/>
  <c r="L24" i="142"/>
  <c r="L23" i="142"/>
  <c r="J22" i="142"/>
  <c r="H22" i="142"/>
  <c r="G22" i="142"/>
  <c r="F22" i="142"/>
  <c r="E22" i="142"/>
  <c r="D22" i="142"/>
  <c r="L27" i="142" l="1"/>
  <c r="M27" i="142" s="1"/>
  <c r="N24" i="142"/>
  <c r="M24" i="142"/>
  <c r="N29" i="142"/>
  <c r="M29" i="142"/>
  <c r="M26" i="142"/>
  <c r="M23" i="142"/>
  <c r="N23" i="142"/>
  <c r="K22" i="142"/>
  <c r="L22" i="142" s="1"/>
  <c r="L28" i="142"/>
  <c r="M22" i="142" l="1"/>
  <c r="N27" i="142"/>
  <c r="N28" i="142"/>
  <c r="M28" i="142"/>
  <c r="N22" i="142" l="1"/>
  <c r="K9" i="145"/>
  <c r="L9" i="145" l="1"/>
  <c r="H40" i="127"/>
  <c r="L114" i="131"/>
  <c r="L113" i="131"/>
  <c r="L111" i="131"/>
  <c r="L112" i="131"/>
  <c r="L110" i="131"/>
  <c r="L92" i="131"/>
  <c r="L89" i="131"/>
  <c r="M89" i="131" s="1"/>
  <c r="L90" i="131"/>
  <c r="M90" i="131" s="1"/>
  <c r="L88" i="131"/>
  <c r="L86" i="131"/>
  <c r="L84" i="131"/>
  <c r="L104" i="130"/>
  <c r="N92" i="131" l="1"/>
  <c r="N111" i="131"/>
  <c r="H113" i="47"/>
  <c r="H52" i="140" l="1"/>
  <c r="H53" i="140"/>
  <c r="H54" i="140"/>
  <c r="H55" i="140"/>
  <c r="H56" i="140"/>
  <c r="H57" i="140"/>
  <c r="H58" i="140"/>
  <c r="H59" i="140"/>
  <c r="L68" i="127" l="1"/>
  <c r="L78" i="127"/>
  <c r="L77" i="127"/>
  <c r="K76" i="127"/>
  <c r="J76" i="127"/>
  <c r="I76" i="127"/>
  <c r="H76" i="127"/>
  <c r="G76" i="127"/>
  <c r="F76" i="127"/>
  <c r="E76" i="127"/>
  <c r="D76" i="127"/>
  <c r="L75" i="127"/>
  <c r="L73" i="127"/>
  <c r="L72" i="127"/>
  <c r="L71" i="127"/>
  <c r="L70" i="127"/>
  <c r="K69" i="127"/>
  <c r="J69" i="127"/>
  <c r="I69" i="127"/>
  <c r="H69" i="127"/>
  <c r="G69" i="127"/>
  <c r="F69" i="127"/>
  <c r="E69" i="127"/>
  <c r="D69" i="127"/>
  <c r="J67" i="127"/>
  <c r="I67" i="127"/>
  <c r="F67" i="127"/>
  <c r="E67" i="127"/>
  <c r="D67" i="127"/>
  <c r="L66" i="127"/>
  <c r="L65" i="127"/>
  <c r="K64" i="127"/>
  <c r="J64" i="127"/>
  <c r="I64" i="127"/>
  <c r="H64" i="127"/>
  <c r="F64" i="127"/>
  <c r="E64" i="127"/>
  <c r="D64" i="127"/>
  <c r="L59" i="127"/>
  <c r="L58" i="127"/>
  <c r="K57" i="127"/>
  <c r="H57" i="127"/>
  <c r="F57" i="127"/>
  <c r="E57" i="127"/>
  <c r="D57" i="127"/>
  <c r="L55" i="127"/>
  <c r="L54" i="127"/>
  <c r="E40" i="127"/>
  <c r="F40" i="127"/>
  <c r="G40" i="127"/>
  <c r="I40" i="127"/>
  <c r="J40" i="127"/>
  <c r="K40" i="127"/>
  <c r="D40" i="127"/>
  <c r="M72" i="127" l="1"/>
  <c r="M58" i="127"/>
  <c r="N58" i="127"/>
  <c r="N75" i="127"/>
  <c r="M75" i="127"/>
  <c r="N68" i="127"/>
  <c r="M68" i="127"/>
  <c r="L64" i="127"/>
  <c r="M64" i="127" s="1"/>
  <c r="L69" i="127"/>
  <c r="N69" i="127" s="1"/>
  <c r="H63" i="127"/>
  <c r="D63" i="127"/>
  <c r="D87" i="127" s="1"/>
  <c r="K63" i="127"/>
  <c r="J63" i="127"/>
  <c r="G63" i="127"/>
  <c r="F63" i="127"/>
  <c r="E63" i="127"/>
  <c r="L52" i="127"/>
  <c r="N52" i="127" s="1"/>
  <c r="L57" i="127"/>
  <c r="N57" i="127" s="1"/>
  <c r="I63" i="127"/>
  <c r="L76" i="127"/>
  <c r="L67" i="127"/>
  <c r="N65" i="127"/>
  <c r="M65" i="127"/>
  <c r="N66" i="127"/>
  <c r="M66" i="127"/>
  <c r="N71" i="127"/>
  <c r="M71" i="127"/>
  <c r="N73" i="127"/>
  <c r="M73" i="127"/>
  <c r="N59" i="127"/>
  <c r="M59" i="127"/>
  <c r="N54" i="127"/>
  <c r="M54" i="127"/>
  <c r="N67" i="127" l="1"/>
  <c r="M67" i="127"/>
  <c r="M52" i="127"/>
  <c r="N64" i="127"/>
  <c r="M69" i="127"/>
  <c r="L63" i="127"/>
  <c r="N63" i="127" s="1"/>
  <c r="M57" i="127"/>
  <c r="M63" i="127" l="1"/>
  <c r="L36" i="131"/>
  <c r="L67" i="131"/>
  <c r="L82" i="131"/>
  <c r="L77" i="131"/>
  <c r="L72" i="131"/>
  <c r="L62" i="131"/>
  <c r="L56" i="131"/>
  <c r="L51" i="131"/>
  <c r="L46" i="131"/>
  <c r="L41" i="131"/>
  <c r="L31" i="131"/>
  <c r="L26" i="131"/>
  <c r="L20" i="131"/>
  <c r="L13" i="131"/>
  <c r="L14" i="126"/>
  <c r="L83" i="127"/>
  <c r="L51" i="127"/>
  <c r="L32" i="127"/>
  <c r="L22" i="127"/>
  <c r="L27" i="109"/>
  <c r="L17" i="109"/>
  <c r="L21" i="113"/>
  <c r="J38" i="130"/>
  <c r="K38" i="130"/>
  <c r="I38" i="130"/>
  <c r="J25" i="130"/>
  <c r="K25" i="130"/>
  <c r="I25" i="130"/>
  <c r="L32" i="130"/>
  <c r="L31" i="130"/>
  <c r="L37" i="130"/>
  <c r="L36" i="130"/>
  <c r="L35" i="130"/>
  <c r="L34" i="130"/>
  <c r="L33" i="130"/>
  <c r="L30" i="130"/>
  <c r="L29" i="130"/>
  <c r="L28" i="130"/>
  <c r="L27" i="130"/>
  <c r="L26" i="130"/>
  <c r="L21" i="114"/>
  <c r="L16" i="114"/>
  <c r="I22" i="81"/>
  <c r="L19" i="133"/>
  <c r="L18" i="133"/>
  <c r="I13" i="81" l="1"/>
  <c r="G21" i="134"/>
  <c r="N22" i="127"/>
  <c r="M22" i="127"/>
  <c r="I15" i="81"/>
  <c r="M32" i="127"/>
  <c r="N32" i="127"/>
  <c r="M51" i="127"/>
  <c r="N51" i="127"/>
  <c r="M83" i="127"/>
  <c r="N83" i="127"/>
  <c r="N82" i="131"/>
  <c r="M82" i="131"/>
  <c r="N77" i="131"/>
  <c r="M77" i="131"/>
  <c r="M72" i="131"/>
  <c r="N72" i="131"/>
  <c r="N67" i="131"/>
  <c r="M67" i="131"/>
  <c r="N62" i="131"/>
  <c r="M62" i="131"/>
  <c r="N56" i="131"/>
  <c r="M56" i="131"/>
  <c r="N51" i="131"/>
  <c r="M51" i="131"/>
  <c r="M46" i="131"/>
  <c r="N46" i="131"/>
  <c r="N41" i="131"/>
  <c r="M41" i="131"/>
  <c r="M36" i="131"/>
  <c r="N36" i="131"/>
  <c r="N31" i="131"/>
  <c r="M31" i="131"/>
  <c r="M26" i="131"/>
  <c r="N26" i="131"/>
  <c r="N20" i="131"/>
  <c r="M20" i="131"/>
  <c r="M13" i="131"/>
  <c r="N13" i="131"/>
  <c r="M19" i="133"/>
  <c r="N19" i="133"/>
  <c r="M18" i="133"/>
  <c r="N18" i="133"/>
  <c r="M21" i="113"/>
  <c r="N21" i="113"/>
  <c r="I11" i="81"/>
  <c r="M27" i="109"/>
  <c r="N27" i="109"/>
  <c r="M17" i="109"/>
  <c r="N17" i="109"/>
  <c r="I20" i="81"/>
  <c r="M16" i="114"/>
  <c r="N16" i="114"/>
  <c r="I16" i="81"/>
  <c r="M21" i="114"/>
  <c r="N21" i="114"/>
  <c r="N26" i="130"/>
  <c r="M26" i="130"/>
  <c r="N27" i="130"/>
  <c r="M27" i="130"/>
  <c r="N28" i="130"/>
  <c r="M28" i="130"/>
  <c r="N29" i="130"/>
  <c r="M29" i="130"/>
  <c r="N30" i="130"/>
  <c r="M30" i="130"/>
  <c r="N33" i="130"/>
  <c r="M33" i="130"/>
  <c r="N34" i="130"/>
  <c r="M34" i="130"/>
  <c r="N35" i="130"/>
  <c r="N36" i="130"/>
  <c r="M36" i="130"/>
  <c r="N37" i="130"/>
  <c r="M37" i="130"/>
  <c r="N31" i="130"/>
  <c r="M31" i="130"/>
  <c r="N32" i="130"/>
  <c r="M32" i="130"/>
  <c r="N14" i="126"/>
  <c r="M14" i="126"/>
  <c r="L38" i="130"/>
  <c r="G26" i="134"/>
  <c r="H26" i="134" s="1"/>
  <c r="G24" i="134"/>
  <c r="H24" i="134" s="1"/>
  <c r="G23" i="134"/>
  <c r="H23" i="134" s="1"/>
  <c r="H21" i="134"/>
  <c r="L25" i="130"/>
  <c r="I14" i="81" s="1"/>
  <c r="N90" i="131"/>
  <c r="N25" i="130" l="1"/>
  <c r="M25" i="130"/>
  <c r="G22" i="134"/>
  <c r="H22" i="134" s="1"/>
  <c r="G28" i="134" l="1"/>
  <c r="H28" i="134" s="1"/>
  <c r="I12" i="142" l="1"/>
  <c r="L20" i="142"/>
  <c r="I36" i="142" l="1"/>
  <c r="M20" i="142"/>
  <c r="N20" i="142"/>
  <c r="L30" i="109"/>
  <c r="L19" i="142" l="1"/>
  <c r="N19" i="142" l="1"/>
  <c r="M19" i="142"/>
  <c r="L18" i="138"/>
  <c r="M18" i="138" l="1"/>
  <c r="N18" i="138"/>
  <c r="K10" i="145"/>
  <c r="M10" i="145" s="1"/>
  <c r="D11" i="145"/>
  <c r="E11" i="145"/>
  <c r="F11" i="145"/>
  <c r="G11" i="145"/>
  <c r="H11" i="145"/>
  <c r="I11" i="145"/>
  <c r="J11" i="145"/>
  <c r="C11" i="145"/>
  <c r="F23" i="4" l="1"/>
  <c r="D24" i="81"/>
  <c r="D23" i="4"/>
  <c r="B24" i="81"/>
  <c r="E23" i="4"/>
  <c r="C24" i="81"/>
  <c r="D23" i="82"/>
  <c r="C23" i="82"/>
  <c r="B23" i="82"/>
  <c r="C23" i="4"/>
  <c r="K11" i="145"/>
  <c r="L23" i="127"/>
  <c r="M23" i="127" l="1"/>
  <c r="N23" i="127"/>
  <c r="E23" i="82"/>
  <c r="L11" i="145"/>
  <c r="E24" i="81"/>
  <c r="G23" i="4"/>
  <c r="M11" i="145"/>
  <c r="N15" i="81"/>
  <c r="O18" i="81"/>
  <c r="P18" i="81"/>
  <c r="N18" i="81"/>
  <c r="H23" i="4" l="1"/>
  <c r="E115" i="47"/>
  <c r="E118" i="47" s="1"/>
  <c r="F115" i="47"/>
  <c r="F118" i="47" s="1"/>
  <c r="D115" i="47"/>
  <c r="H115" i="47" l="1"/>
  <c r="D118" i="47"/>
  <c r="L86" i="127" l="1"/>
  <c r="L25" i="127"/>
  <c r="L13" i="127"/>
  <c r="L28" i="110"/>
  <c r="F11" i="110"/>
  <c r="F29" i="110" s="1"/>
  <c r="G18" i="109"/>
  <c r="E22" i="117"/>
  <c r="F22" i="117"/>
  <c r="G22" i="117"/>
  <c r="H22" i="117"/>
  <c r="I22" i="117"/>
  <c r="J22" i="117"/>
  <c r="K22" i="117"/>
  <c r="D22" i="117"/>
  <c r="L21" i="117"/>
  <c r="L35" i="142"/>
  <c r="L34" i="142"/>
  <c r="L56" i="127"/>
  <c r="N21" i="117" l="1"/>
  <c r="D29" i="4"/>
  <c r="F29" i="4"/>
  <c r="E29" i="4"/>
  <c r="F125" i="47"/>
  <c r="E125" i="47"/>
  <c r="D125" i="47"/>
  <c r="F107" i="47"/>
  <c r="E107" i="47"/>
  <c r="D107" i="47"/>
  <c r="F100" i="47"/>
  <c r="E100" i="47"/>
  <c r="D100" i="47"/>
  <c r="F127" i="47" l="1"/>
  <c r="E127" i="47"/>
  <c r="D127" i="47"/>
  <c r="F109" i="47"/>
  <c r="D109" i="47"/>
  <c r="E109" i="47"/>
  <c r="K79" i="127" l="1"/>
  <c r="I79" i="127"/>
  <c r="J79" i="127"/>
  <c r="L60" i="127"/>
  <c r="L61" i="127"/>
  <c r="L62" i="127"/>
  <c r="P15" i="81"/>
  <c r="O15" i="81"/>
  <c r="L45" i="127"/>
  <c r="L14" i="127"/>
  <c r="L10" i="127"/>
  <c r="N60" i="127" l="1"/>
  <c r="N14" i="127"/>
  <c r="M14" i="127"/>
  <c r="N45" i="127"/>
  <c r="M45" i="127"/>
  <c r="M10" i="127"/>
  <c r="N10" i="127"/>
  <c r="L12" i="110"/>
  <c r="K28" i="109"/>
  <c r="J28" i="109"/>
  <c r="I28" i="109"/>
  <c r="H28" i="109"/>
  <c r="G28" i="109"/>
  <c r="E28" i="109"/>
  <c r="D28" i="109"/>
  <c r="F28" i="109"/>
  <c r="L31" i="109"/>
  <c r="N31" i="109" s="1"/>
  <c r="L29" i="109"/>
  <c r="K18" i="109"/>
  <c r="J18" i="109"/>
  <c r="I18" i="109"/>
  <c r="H18" i="109"/>
  <c r="F18" i="109"/>
  <c r="E18" i="109"/>
  <c r="D18" i="109"/>
  <c r="H9" i="109"/>
  <c r="G9" i="109"/>
  <c r="F9" i="109"/>
  <c r="E9" i="109"/>
  <c r="D9" i="109"/>
  <c r="J9" i="109"/>
  <c r="K9" i="109"/>
  <c r="I9" i="109"/>
  <c r="L19" i="109"/>
  <c r="N19" i="109" s="1"/>
  <c r="L20" i="109"/>
  <c r="L21" i="109"/>
  <c r="L22" i="109"/>
  <c r="L23" i="109"/>
  <c r="L25" i="109"/>
  <c r="L10" i="109"/>
  <c r="N10" i="109" s="1"/>
  <c r="L11" i="109"/>
  <c r="M11" i="109" s="1"/>
  <c r="L12" i="109"/>
  <c r="M12" i="109" s="1"/>
  <c r="L13" i="109"/>
  <c r="M13" i="109" s="1"/>
  <c r="L15" i="109"/>
  <c r="G32" i="109" l="1"/>
  <c r="H32" i="109"/>
  <c r="N12" i="110"/>
  <c r="N25" i="109"/>
  <c r="L18" i="109"/>
  <c r="M21" i="109"/>
  <c r="N21" i="109"/>
  <c r="N29" i="109"/>
  <c r="N22" i="109"/>
  <c r="M22" i="109"/>
  <c r="M20" i="109"/>
  <c r="N20" i="109"/>
  <c r="L9" i="109"/>
  <c r="M31" i="109"/>
  <c r="M19" i="109"/>
  <c r="M10" i="109"/>
  <c r="N12" i="109"/>
  <c r="N11" i="109"/>
  <c r="N13" i="109"/>
  <c r="K26" i="125" l="1"/>
  <c r="K25" i="125"/>
  <c r="L25" i="125" l="1"/>
  <c r="M25" i="125"/>
  <c r="M26" i="125"/>
  <c r="L26" i="125"/>
  <c r="L107" i="130"/>
  <c r="L106" i="130"/>
  <c r="L105" i="130"/>
  <c r="E104" i="130"/>
  <c r="F104" i="130"/>
  <c r="G104" i="130"/>
  <c r="H104" i="130"/>
  <c r="I104" i="130"/>
  <c r="J104" i="130"/>
  <c r="K104" i="130"/>
  <c r="D104" i="130"/>
  <c r="L101" i="130"/>
  <c r="L108" i="130"/>
  <c r="I96" i="130"/>
  <c r="J96" i="130"/>
  <c r="K96" i="130"/>
  <c r="I88" i="130"/>
  <c r="J88" i="130"/>
  <c r="K88" i="130"/>
  <c r="L68" i="130"/>
  <c r="L58" i="130"/>
  <c r="L28" i="113"/>
  <c r="M28" i="113" s="1"/>
  <c r="I9" i="113"/>
  <c r="L25" i="113"/>
  <c r="L23" i="113"/>
  <c r="K22" i="113"/>
  <c r="J22" i="113"/>
  <c r="I22" i="113"/>
  <c r="H22" i="113"/>
  <c r="F22" i="113"/>
  <c r="E22" i="113"/>
  <c r="D22" i="113"/>
  <c r="N110" i="130" l="1"/>
  <c r="N101" i="130"/>
  <c r="N108" i="130"/>
  <c r="M108" i="130"/>
  <c r="N68" i="130"/>
  <c r="L88" i="130"/>
  <c r="N28" i="113"/>
  <c r="L22" i="113"/>
  <c r="D31" i="4" l="1"/>
  <c r="F31" i="4"/>
  <c r="E31" i="4"/>
  <c r="N86" i="131"/>
  <c r="N89" i="131"/>
  <c r="E23" i="118" l="1"/>
  <c r="F23" i="118"/>
  <c r="G23" i="118"/>
  <c r="H23" i="118"/>
  <c r="I23" i="118"/>
  <c r="J23" i="118"/>
  <c r="K23" i="118"/>
  <c r="D23" i="118"/>
  <c r="L12" i="118"/>
  <c r="D18" i="4" l="1"/>
  <c r="M12" i="118"/>
  <c r="N12" i="118"/>
  <c r="F18" i="4"/>
  <c r="E18" i="4"/>
  <c r="L31" i="142"/>
  <c r="L17" i="142"/>
  <c r="M17" i="142" s="1"/>
  <c r="N17" i="142" l="1"/>
  <c r="M31" i="142"/>
  <c r="N31" i="142"/>
  <c r="M15" i="133" l="1"/>
  <c r="N15" i="133"/>
  <c r="H10" i="140"/>
  <c r="H11" i="140"/>
  <c r="H12" i="140"/>
  <c r="H13" i="140"/>
  <c r="H14" i="140"/>
  <c r="H15" i="140"/>
  <c r="H16" i="140"/>
  <c r="H17" i="140"/>
  <c r="H18" i="140"/>
  <c r="H19" i="140"/>
  <c r="G56" i="47"/>
  <c r="H29" i="140"/>
  <c r="H30" i="140"/>
  <c r="H31" i="140"/>
  <c r="H32" i="140"/>
  <c r="H33" i="140"/>
  <c r="H34" i="140"/>
  <c r="H35" i="140"/>
  <c r="H38" i="140"/>
  <c r="H39" i="140"/>
  <c r="H40" i="140"/>
  <c r="H49" i="140"/>
  <c r="H50" i="140"/>
  <c r="H51" i="140"/>
  <c r="H124" i="47"/>
  <c r="H56" i="47" l="1"/>
  <c r="G121" i="47"/>
  <c r="H121" i="47" s="1"/>
  <c r="H60" i="140"/>
  <c r="H41" i="140"/>
  <c r="H21" i="140"/>
  <c r="G58" i="47"/>
  <c r="I33" i="80" s="1"/>
  <c r="G59" i="47"/>
  <c r="H104" i="47"/>
  <c r="H34" i="80" l="1"/>
  <c r="I34" i="80" s="1"/>
  <c r="G38" i="47"/>
  <c r="H59" i="47"/>
  <c r="H38" i="47"/>
  <c r="G123" i="47"/>
  <c r="G116" i="47" s="1"/>
  <c r="G118" i="47" s="1"/>
  <c r="H58" i="47"/>
  <c r="G122" i="47"/>
  <c r="H122" i="47" s="1"/>
  <c r="H105" i="47"/>
  <c r="G100" i="47"/>
  <c r="H100" i="47" s="1"/>
  <c r="H93" i="47"/>
  <c r="H103" i="47"/>
  <c r="B23" i="12"/>
  <c r="C23" i="12"/>
  <c r="D23" i="12"/>
  <c r="E23" i="12"/>
  <c r="F23" i="12"/>
  <c r="B24" i="12"/>
  <c r="C24" i="12"/>
  <c r="D24" i="12"/>
  <c r="E24" i="12"/>
  <c r="F24" i="12"/>
  <c r="B25" i="12"/>
  <c r="C25" i="12"/>
  <c r="D25" i="12"/>
  <c r="E25" i="12"/>
  <c r="F25" i="12"/>
  <c r="B26" i="12"/>
  <c r="C26" i="12"/>
  <c r="D26" i="12"/>
  <c r="E26" i="12"/>
  <c r="F26" i="12"/>
  <c r="B27" i="12"/>
  <c r="C27" i="12"/>
  <c r="D27" i="12"/>
  <c r="E27" i="12"/>
  <c r="F27" i="12"/>
  <c r="B22" i="12"/>
  <c r="C22" i="12"/>
  <c r="D22" i="12"/>
  <c r="E22" i="12"/>
  <c r="F22" i="12"/>
  <c r="B21" i="12"/>
  <c r="D21" i="12"/>
  <c r="B11" i="12"/>
  <c r="C11" i="12"/>
  <c r="D11" i="12"/>
  <c r="E11" i="12"/>
  <c r="F11" i="12"/>
  <c r="O11" i="81"/>
  <c r="P11" i="81"/>
  <c r="N11" i="81"/>
  <c r="O12" i="81"/>
  <c r="P12" i="81"/>
  <c r="N12" i="81"/>
  <c r="O16" i="81"/>
  <c r="P16" i="81"/>
  <c r="N16" i="81"/>
  <c r="O19" i="81"/>
  <c r="P19" i="81"/>
  <c r="N19" i="81"/>
  <c r="O20" i="81"/>
  <c r="P20" i="81"/>
  <c r="N20" i="81"/>
  <c r="K31" i="81"/>
  <c r="L31" i="81"/>
  <c r="J31" i="81"/>
  <c r="J25" i="81"/>
  <c r="K22" i="81"/>
  <c r="L22" i="81"/>
  <c r="J22" i="81"/>
  <c r="K18" i="81"/>
  <c r="L18" i="81"/>
  <c r="J18" i="81"/>
  <c r="L16" i="81"/>
  <c r="J16" i="81"/>
  <c r="L15" i="81"/>
  <c r="J15" i="81"/>
  <c r="C47" i="134"/>
  <c r="B47" i="134"/>
  <c r="L17" i="127"/>
  <c r="L11" i="127"/>
  <c r="C48" i="134"/>
  <c r="D48" i="134"/>
  <c r="E48" i="134"/>
  <c r="F48" i="134"/>
  <c r="C51" i="134"/>
  <c r="D51" i="134"/>
  <c r="E51" i="134"/>
  <c r="F51" i="134"/>
  <c r="B51" i="134"/>
  <c r="B50" i="134"/>
  <c r="C49" i="134"/>
  <c r="D49" i="134"/>
  <c r="E49" i="134"/>
  <c r="F49" i="134"/>
  <c r="B49" i="134"/>
  <c r="B48" i="134"/>
  <c r="C39" i="134"/>
  <c r="D39" i="134"/>
  <c r="E39" i="134"/>
  <c r="F39" i="134"/>
  <c r="B39" i="134"/>
  <c r="C38" i="134"/>
  <c r="D38" i="134"/>
  <c r="F38" i="134"/>
  <c r="H38" i="134"/>
  <c r="B38" i="134"/>
  <c r="C37" i="134"/>
  <c r="D37" i="134"/>
  <c r="E37" i="134"/>
  <c r="F37" i="134"/>
  <c r="B37" i="134"/>
  <c r="C36" i="134"/>
  <c r="D36" i="134"/>
  <c r="F36" i="134"/>
  <c r="B36" i="134"/>
  <c r="C35" i="134"/>
  <c r="D35" i="134"/>
  <c r="F35" i="134"/>
  <c r="B35" i="134"/>
  <c r="C15" i="134"/>
  <c r="E15" i="134"/>
  <c r="F15" i="134"/>
  <c r="C14" i="134"/>
  <c r="F14" i="134"/>
  <c r="C13" i="134"/>
  <c r="E13" i="134"/>
  <c r="F13" i="134"/>
  <c r="C12" i="134"/>
  <c r="E12" i="134"/>
  <c r="F12" i="134"/>
  <c r="C11" i="134"/>
  <c r="E11" i="134"/>
  <c r="F11" i="134"/>
  <c r="M17" i="127" l="1"/>
  <c r="N17" i="127"/>
  <c r="N11" i="127"/>
  <c r="H123" i="47"/>
  <c r="G125" i="47"/>
  <c r="H125" i="47" s="1"/>
  <c r="B57" i="134"/>
  <c r="G107" i="47"/>
  <c r="G109" i="47" s="1"/>
  <c r="H118" i="47"/>
  <c r="H116" i="47"/>
  <c r="H107" i="47" l="1"/>
  <c r="G127" i="47"/>
  <c r="F26" i="113"/>
  <c r="C29" i="4" l="1"/>
  <c r="E96" i="130" l="1"/>
  <c r="E88" i="130"/>
  <c r="E79" i="130"/>
  <c r="C34" i="134" s="1"/>
  <c r="E71" i="130"/>
  <c r="E66" i="130"/>
  <c r="E61" i="130"/>
  <c r="E49" i="130"/>
  <c r="C46" i="134" s="1"/>
  <c r="E38" i="130"/>
  <c r="C10" i="134" s="1"/>
  <c r="E9" i="130"/>
  <c r="E115" i="130" l="1"/>
  <c r="C13" i="4" s="1"/>
  <c r="L95" i="130"/>
  <c r="F88" i="130"/>
  <c r="G88" i="130"/>
  <c r="H88" i="130"/>
  <c r="D88" i="130"/>
  <c r="L93" i="130"/>
  <c r="L89" i="130"/>
  <c r="F66" i="130"/>
  <c r="G66" i="130"/>
  <c r="H66" i="130"/>
  <c r="I66" i="130"/>
  <c r="J66" i="130"/>
  <c r="K66" i="130"/>
  <c r="D66" i="130"/>
  <c r="L67" i="130"/>
  <c r="F61" i="130"/>
  <c r="G61" i="130"/>
  <c r="H61" i="130"/>
  <c r="I61" i="130"/>
  <c r="J61" i="130"/>
  <c r="K61" i="130"/>
  <c r="D61" i="130"/>
  <c r="L62" i="130"/>
  <c r="N67" i="130" l="1"/>
  <c r="N89" i="130"/>
  <c r="D9" i="138" l="1"/>
  <c r="D13" i="110"/>
  <c r="D29" i="110" s="1"/>
  <c r="L15" i="114"/>
  <c r="L14" i="114"/>
  <c r="L13" i="114"/>
  <c r="F17" i="114"/>
  <c r="D12" i="114"/>
  <c r="L21" i="127"/>
  <c r="L20" i="127"/>
  <c r="L19" i="127"/>
  <c r="F18" i="127"/>
  <c r="D96" i="130"/>
  <c r="D79" i="130"/>
  <c r="B34" i="134" s="1"/>
  <c r="D71" i="130"/>
  <c r="D49" i="130"/>
  <c r="B46" i="134" s="1"/>
  <c r="D38" i="130"/>
  <c r="B10" i="134" s="1"/>
  <c r="D9" i="130"/>
  <c r="F9" i="130"/>
  <c r="F38" i="130"/>
  <c r="D10" i="134" s="1"/>
  <c r="F49" i="130"/>
  <c r="F71" i="130"/>
  <c r="F79" i="130"/>
  <c r="F96" i="130"/>
  <c r="D10" i="126"/>
  <c r="D20" i="126" s="1"/>
  <c r="D26" i="113"/>
  <c r="D9" i="113"/>
  <c r="B59" i="134"/>
  <c r="B60" i="134"/>
  <c r="B61" i="134"/>
  <c r="B62" i="134"/>
  <c r="I11" i="80"/>
  <c r="I12" i="80"/>
  <c r="K23" i="16"/>
  <c r="K20" i="16"/>
  <c r="K17" i="16"/>
  <c r="K14" i="16"/>
  <c r="K13" i="16"/>
  <c r="F24" i="16"/>
  <c r="I25" i="2"/>
  <c r="I26" i="2"/>
  <c r="I27" i="2"/>
  <c r="I28" i="2"/>
  <c r="I9" i="2"/>
  <c r="I10" i="2"/>
  <c r="I11" i="2"/>
  <c r="I12" i="2"/>
  <c r="I14" i="2"/>
  <c r="I15" i="2"/>
  <c r="I16" i="2"/>
  <c r="I17" i="2"/>
  <c r="I18" i="2"/>
  <c r="I22" i="2"/>
  <c r="I23" i="2"/>
  <c r="H79" i="47"/>
  <c r="H36" i="47"/>
  <c r="D31" i="12"/>
  <c r="D13" i="12"/>
  <c r="F115" i="130" l="1"/>
  <c r="D115" i="130"/>
  <c r="D31" i="113"/>
  <c r="M21" i="127"/>
  <c r="M19" i="127"/>
  <c r="M20" i="127"/>
  <c r="B58" i="134"/>
  <c r="J14" i="81"/>
  <c r="D34" i="134"/>
  <c r="D46" i="134"/>
  <c r="N14" i="81"/>
  <c r="F9" i="113"/>
  <c r="F31" i="113" s="1"/>
  <c r="F10" i="126"/>
  <c r="F20" i="126" s="1"/>
  <c r="D10" i="4" l="1"/>
  <c r="D12" i="4"/>
  <c r="D13" i="4"/>
  <c r="B14" i="81"/>
  <c r="L94" i="130"/>
  <c r="N94" i="130" l="1"/>
  <c r="M94" i="130"/>
  <c r="J33" i="81"/>
  <c r="L9" i="141"/>
  <c r="L33" i="142"/>
  <c r="L32" i="142"/>
  <c r="L21" i="142"/>
  <c r="L15" i="142"/>
  <c r="Q31" i="81" s="1"/>
  <c r="L14" i="142"/>
  <c r="L13" i="142"/>
  <c r="K12" i="142"/>
  <c r="J12" i="142"/>
  <c r="H12" i="142"/>
  <c r="H36" i="142" s="1"/>
  <c r="G12" i="142"/>
  <c r="G36" i="142" s="1"/>
  <c r="F12" i="142"/>
  <c r="F36" i="142" s="1"/>
  <c r="E12" i="142"/>
  <c r="E36" i="142" s="1"/>
  <c r="D12" i="142"/>
  <c r="D36" i="142" s="1"/>
  <c r="L11" i="142"/>
  <c r="L9" i="142"/>
  <c r="L18" i="117"/>
  <c r="L16" i="117"/>
  <c r="L15" i="117"/>
  <c r="L14" i="117"/>
  <c r="L13" i="117"/>
  <c r="L12" i="117"/>
  <c r="L11" i="117"/>
  <c r="N11" i="117" s="1"/>
  <c r="L9" i="117"/>
  <c r="J12" i="137"/>
  <c r="I12" i="137"/>
  <c r="H12" i="137"/>
  <c r="G12" i="137"/>
  <c r="F12" i="137"/>
  <c r="E12" i="137"/>
  <c r="D12" i="137"/>
  <c r="C12" i="137"/>
  <c r="K11" i="137"/>
  <c r="K10" i="137"/>
  <c r="K9" i="137"/>
  <c r="L9" i="137" s="1"/>
  <c r="J12" i="121"/>
  <c r="I12" i="121"/>
  <c r="H12" i="121"/>
  <c r="G12" i="121"/>
  <c r="F12" i="121"/>
  <c r="E12" i="121"/>
  <c r="D12" i="121"/>
  <c r="C12" i="121"/>
  <c r="K11" i="121"/>
  <c r="L11" i="121" s="1"/>
  <c r="K10" i="121"/>
  <c r="L10" i="121" s="1"/>
  <c r="K9" i="121"/>
  <c r="J17" i="119"/>
  <c r="I17" i="119"/>
  <c r="H17" i="119"/>
  <c r="G17" i="119"/>
  <c r="F17" i="119"/>
  <c r="E17" i="119"/>
  <c r="D17" i="119"/>
  <c r="C17" i="119"/>
  <c r="K16" i="119"/>
  <c r="K15" i="119"/>
  <c r="K14" i="119"/>
  <c r="K13" i="119"/>
  <c r="K12" i="119"/>
  <c r="K11" i="119"/>
  <c r="K10" i="119"/>
  <c r="K9" i="119"/>
  <c r="K109" i="131"/>
  <c r="J109" i="131"/>
  <c r="I109" i="131"/>
  <c r="H109" i="131"/>
  <c r="P25" i="81" s="1"/>
  <c r="F109" i="131"/>
  <c r="E109" i="131"/>
  <c r="K91" i="131"/>
  <c r="J91" i="131"/>
  <c r="I91" i="131"/>
  <c r="H91" i="131"/>
  <c r="G91" i="131"/>
  <c r="G115" i="131" s="1"/>
  <c r="F91" i="131"/>
  <c r="E91" i="131"/>
  <c r="E115" i="131" s="1"/>
  <c r="N88" i="131"/>
  <c r="K83" i="131"/>
  <c r="J83" i="131"/>
  <c r="I83" i="131"/>
  <c r="H83" i="131"/>
  <c r="H115" i="131" s="1"/>
  <c r="F83" i="131"/>
  <c r="F115" i="131" s="1"/>
  <c r="L87" i="131"/>
  <c r="N87" i="131" s="1"/>
  <c r="L81" i="131"/>
  <c r="N81" i="131" s="1"/>
  <c r="L80" i="131"/>
  <c r="M80" i="131" s="1"/>
  <c r="L79" i="131"/>
  <c r="L76" i="131"/>
  <c r="L75" i="131"/>
  <c r="N75" i="131" s="1"/>
  <c r="L74" i="131"/>
  <c r="L71" i="131"/>
  <c r="L70" i="131"/>
  <c r="N70" i="131" s="1"/>
  <c r="L69" i="131"/>
  <c r="L66" i="131"/>
  <c r="N66" i="131" s="1"/>
  <c r="L65" i="131"/>
  <c r="N65" i="131" s="1"/>
  <c r="L64" i="131"/>
  <c r="L61" i="131"/>
  <c r="L60" i="131"/>
  <c r="M60" i="131" s="1"/>
  <c r="L59" i="131"/>
  <c r="L57" i="131"/>
  <c r="N57" i="131" s="1"/>
  <c r="L55" i="131"/>
  <c r="L54" i="131"/>
  <c r="M54" i="131" s="1"/>
  <c r="L53" i="131"/>
  <c r="L50" i="131"/>
  <c r="M50" i="131" s="1"/>
  <c r="L49" i="131"/>
  <c r="M49" i="131" s="1"/>
  <c r="L48" i="131"/>
  <c r="L45" i="131"/>
  <c r="L44" i="131"/>
  <c r="M44" i="131" s="1"/>
  <c r="L43" i="131"/>
  <c r="L40" i="131"/>
  <c r="L39" i="131"/>
  <c r="N39" i="131" s="1"/>
  <c r="L38" i="131"/>
  <c r="L35" i="131"/>
  <c r="M35" i="131" s="1"/>
  <c r="L34" i="131"/>
  <c r="M34" i="131" s="1"/>
  <c r="L33" i="131"/>
  <c r="L30" i="131"/>
  <c r="L29" i="131"/>
  <c r="L28" i="131"/>
  <c r="L25" i="131"/>
  <c r="L24" i="131"/>
  <c r="L23" i="131"/>
  <c r="L21" i="131"/>
  <c r="M21" i="131" s="1"/>
  <c r="L19" i="131"/>
  <c r="L18" i="131"/>
  <c r="L17" i="131"/>
  <c r="L15" i="131"/>
  <c r="L14" i="131"/>
  <c r="L12" i="131"/>
  <c r="L11" i="131"/>
  <c r="L10" i="131"/>
  <c r="J10" i="115"/>
  <c r="D22" i="82" s="1"/>
  <c r="I10" i="115"/>
  <c r="C22" i="82" s="1"/>
  <c r="H10" i="115"/>
  <c r="G10" i="115"/>
  <c r="F10" i="115"/>
  <c r="E10" i="115"/>
  <c r="B23" i="81" s="1"/>
  <c r="D10" i="115"/>
  <c r="C22" i="4" s="1"/>
  <c r="C10" i="115"/>
  <c r="K9" i="115"/>
  <c r="K10" i="115" s="1"/>
  <c r="D25" i="138"/>
  <c r="L24" i="138"/>
  <c r="M24" i="138" s="1"/>
  <c r="L23" i="138"/>
  <c r="L22" i="138"/>
  <c r="M22" i="138" s="1"/>
  <c r="L21" i="138"/>
  <c r="N21" i="138" s="1"/>
  <c r="L20" i="138"/>
  <c r="N20" i="138" s="1"/>
  <c r="L17" i="138"/>
  <c r="N17" i="138" s="1"/>
  <c r="L16" i="138"/>
  <c r="M16" i="138" s="1"/>
  <c r="L14" i="138"/>
  <c r="L13" i="138"/>
  <c r="L12" i="138"/>
  <c r="M12" i="138" s="1"/>
  <c r="L11" i="138"/>
  <c r="L10" i="138"/>
  <c r="K9" i="138"/>
  <c r="K25" i="138" s="1"/>
  <c r="J9" i="138"/>
  <c r="J25" i="138" s="1"/>
  <c r="I9" i="138"/>
  <c r="H9" i="138"/>
  <c r="H25" i="138" s="1"/>
  <c r="G9" i="138"/>
  <c r="G25" i="138" s="1"/>
  <c r="F9" i="138"/>
  <c r="F25" i="138" s="1"/>
  <c r="E9" i="138"/>
  <c r="E25" i="138" s="1"/>
  <c r="J37" i="125"/>
  <c r="I37" i="125"/>
  <c r="H37" i="125"/>
  <c r="G37" i="125"/>
  <c r="F37" i="125"/>
  <c r="E37" i="125"/>
  <c r="D37" i="125"/>
  <c r="C37" i="125"/>
  <c r="K36" i="125"/>
  <c r="K35" i="125"/>
  <c r="L35" i="125" s="1"/>
  <c r="K34" i="125"/>
  <c r="M34" i="125" s="1"/>
  <c r="K33" i="125"/>
  <c r="K32" i="125"/>
  <c r="K28" i="125"/>
  <c r="K27" i="125"/>
  <c r="K24" i="125"/>
  <c r="L24" i="125" s="1"/>
  <c r="K23" i="125"/>
  <c r="K22" i="125"/>
  <c r="K21" i="125"/>
  <c r="L21" i="125" s="1"/>
  <c r="K20" i="125"/>
  <c r="M20" i="125" s="1"/>
  <c r="K19" i="125"/>
  <c r="M19" i="125" s="1"/>
  <c r="K18" i="125"/>
  <c r="M18" i="125" s="1"/>
  <c r="K17" i="125"/>
  <c r="L17" i="125" s="1"/>
  <c r="K16" i="125"/>
  <c r="K15" i="125"/>
  <c r="K14" i="125"/>
  <c r="L14" i="125" s="1"/>
  <c r="K13" i="125"/>
  <c r="M13" i="125" s="1"/>
  <c r="K12" i="125"/>
  <c r="M12" i="125" s="1"/>
  <c r="K11" i="125"/>
  <c r="L11" i="125" s="1"/>
  <c r="K9" i="125"/>
  <c r="L26" i="109"/>
  <c r="L16" i="109"/>
  <c r="M9" i="109"/>
  <c r="L22" i="118"/>
  <c r="N22" i="118" s="1"/>
  <c r="L21" i="118"/>
  <c r="L20" i="118"/>
  <c r="L19" i="118"/>
  <c r="L18" i="118"/>
  <c r="L17" i="118"/>
  <c r="L16" i="118"/>
  <c r="L15" i="118"/>
  <c r="L14" i="118"/>
  <c r="L13" i="118"/>
  <c r="L11" i="118"/>
  <c r="L10" i="118"/>
  <c r="M10" i="118" s="1"/>
  <c r="L9" i="118"/>
  <c r="L27" i="110"/>
  <c r="L25" i="110"/>
  <c r="L23" i="110"/>
  <c r="L22" i="110"/>
  <c r="L21" i="110"/>
  <c r="L18" i="110"/>
  <c r="N18" i="110" s="1"/>
  <c r="L16" i="110"/>
  <c r="Q18" i="81" s="1"/>
  <c r="L15" i="110"/>
  <c r="L14" i="110"/>
  <c r="G13" i="134" s="1"/>
  <c r="E13" i="110"/>
  <c r="E29" i="110" s="1"/>
  <c r="L11" i="110"/>
  <c r="L9" i="110"/>
  <c r="K23" i="133"/>
  <c r="J23" i="133"/>
  <c r="D23" i="133"/>
  <c r="L22" i="133"/>
  <c r="L16" i="133"/>
  <c r="L17" i="133"/>
  <c r="L14" i="133"/>
  <c r="L12" i="133"/>
  <c r="N12" i="133" s="1"/>
  <c r="H23" i="133"/>
  <c r="G23" i="133"/>
  <c r="F23" i="133"/>
  <c r="E23" i="133"/>
  <c r="L11" i="133"/>
  <c r="N11" i="133" s="1"/>
  <c r="L10" i="133"/>
  <c r="M10" i="133" s="1"/>
  <c r="L9" i="133"/>
  <c r="L26" i="114"/>
  <c r="N26" i="114" s="1"/>
  <c r="L25" i="114"/>
  <c r="M25" i="114" s="1"/>
  <c r="L20" i="114"/>
  <c r="L19" i="114"/>
  <c r="L18" i="114"/>
  <c r="M18" i="114" s="1"/>
  <c r="K17" i="114"/>
  <c r="J17" i="114"/>
  <c r="I17" i="114"/>
  <c r="H17" i="114"/>
  <c r="G17" i="114"/>
  <c r="E17" i="114"/>
  <c r="M15" i="114"/>
  <c r="Q16" i="81"/>
  <c r="M14" i="114"/>
  <c r="M13" i="114"/>
  <c r="N13" i="114"/>
  <c r="K12" i="114"/>
  <c r="J12" i="114"/>
  <c r="I12" i="114"/>
  <c r="H12" i="114"/>
  <c r="G12" i="114"/>
  <c r="F12" i="114"/>
  <c r="F27" i="114" s="1"/>
  <c r="E12" i="114"/>
  <c r="D27" i="114"/>
  <c r="L10" i="114"/>
  <c r="L9" i="114"/>
  <c r="L85" i="127"/>
  <c r="L84" i="127"/>
  <c r="L82" i="127"/>
  <c r="L81" i="127"/>
  <c r="M81" i="127" s="1"/>
  <c r="L80" i="127"/>
  <c r="H79" i="127"/>
  <c r="G79" i="127"/>
  <c r="F79" i="127"/>
  <c r="E79" i="127"/>
  <c r="L50" i="127"/>
  <c r="M50" i="127" s="1"/>
  <c r="L49" i="127"/>
  <c r="M49" i="127" s="1"/>
  <c r="L48" i="127"/>
  <c r="K47" i="127"/>
  <c r="J47" i="127"/>
  <c r="I47" i="127"/>
  <c r="H47" i="127"/>
  <c r="G47" i="127"/>
  <c r="F47" i="127"/>
  <c r="E47" i="127"/>
  <c r="L44" i="127"/>
  <c r="M44" i="127" s="1"/>
  <c r="L42" i="127"/>
  <c r="L41" i="127"/>
  <c r="L38" i="127"/>
  <c r="M38" i="127" s="1"/>
  <c r="L37" i="127"/>
  <c r="N37" i="127" s="1"/>
  <c r="L36" i="127"/>
  <c r="L35" i="127"/>
  <c r="N35" i="127" s="1"/>
  <c r="L34" i="127"/>
  <c r="N34" i="127" s="1"/>
  <c r="K33" i="127"/>
  <c r="J33" i="127"/>
  <c r="I33" i="127"/>
  <c r="H33" i="127"/>
  <c r="G33" i="127"/>
  <c r="F33" i="127"/>
  <c r="E33" i="127"/>
  <c r="L31" i="127"/>
  <c r="L30" i="127"/>
  <c r="L29" i="127"/>
  <c r="K28" i="127"/>
  <c r="J28" i="127"/>
  <c r="I28" i="127"/>
  <c r="H28" i="127"/>
  <c r="G28" i="127"/>
  <c r="F28" i="127"/>
  <c r="F87" i="127" s="1"/>
  <c r="E28" i="127"/>
  <c r="L24" i="127"/>
  <c r="N20" i="127"/>
  <c r="N19" i="127"/>
  <c r="K18" i="127"/>
  <c r="J18" i="127"/>
  <c r="I18" i="127"/>
  <c r="H18" i="127"/>
  <c r="G18" i="127"/>
  <c r="E18" i="127"/>
  <c r="L16" i="127"/>
  <c r="L15" i="127"/>
  <c r="L12" i="127"/>
  <c r="L9" i="127"/>
  <c r="L109" i="130"/>
  <c r="L113" i="130"/>
  <c r="L112" i="130"/>
  <c r="L103" i="130"/>
  <c r="L102" i="130"/>
  <c r="L99" i="130"/>
  <c r="L98" i="130"/>
  <c r="L97" i="130"/>
  <c r="H96" i="130"/>
  <c r="G96" i="130"/>
  <c r="L92" i="130"/>
  <c r="L91" i="130"/>
  <c r="L90" i="130"/>
  <c r="L86" i="130"/>
  <c r="M86" i="130" s="1"/>
  <c r="L85" i="130"/>
  <c r="N85" i="130" s="1"/>
  <c r="L83" i="130"/>
  <c r="L82" i="130"/>
  <c r="N82" i="130" s="1"/>
  <c r="L81" i="130"/>
  <c r="M81" i="130" s="1"/>
  <c r="L80" i="130"/>
  <c r="K79" i="130"/>
  <c r="K87" i="130" s="1"/>
  <c r="J79" i="130"/>
  <c r="J87" i="130" s="1"/>
  <c r="I79" i="130"/>
  <c r="I87" i="130" s="1"/>
  <c r="H79" i="130"/>
  <c r="G79" i="130"/>
  <c r="L78" i="130"/>
  <c r="N78" i="130" s="1"/>
  <c r="L77" i="130"/>
  <c r="L76" i="130"/>
  <c r="L75" i="130"/>
  <c r="L74" i="130"/>
  <c r="L73" i="130"/>
  <c r="L72" i="130"/>
  <c r="K71" i="130"/>
  <c r="J71" i="130"/>
  <c r="I71" i="130"/>
  <c r="H71" i="130"/>
  <c r="G71" i="130"/>
  <c r="L70" i="130"/>
  <c r="N70" i="130" s="1"/>
  <c r="L69" i="130"/>
  <c r="L65" i="130"/>
  <c r="N65" i="130" s="1"/>
  <c r="L64" i="130"/>
  <c r="L63" i="130"/>
  <c r="L59" i="130"/>
  <c r="L57" i="130"/>
  <c r="L56" i="130"/>
  <c r="L55" i="130"/>
  <c r="L54" i="130"/>
  <c r="L53" i="130"/>
  <c r="L52" i="130"/>
  <c r="L51" i="130"/>
  <c r="L50" i="130"/>
  <c r="M48" i="130"/>
  <c r="N47" i="130"/>
  <c r="L45" i="130"/>
  <c r="M45" i="130" s="1"/>
  <c r="L44" i="130"/>
  <c r="N44" i="130" s="1"/>
  <c r="L43" i="130"/>
  <c r="N43" i="130" s="1"/>
  <c r="L42" i="130"/>
  <c r="M42" i="130" s="1"/>
  <c r="L41" i="130"/>
  <c r="N41" i="130" s="1"/>
  <c r="L40" i="130"/>
  <c r="M40" i="130" s="1"/>
  <c r="L39" i="130"/>
  <c r="N39" i="130" s="1"/>
  <c r="H38" i="130"/>
  <c r="G38" i="130"/>
  <c r="L24" i="130"/>
  <c r="L23" i="130"/>
  <c r="L21" i="130"/>
  <c r="N21" i="130" s="1"/>
  <c r="L20" i="130"/>
  <c r="M20" i="130" s="1"/>
  <c r="L19" i="130"/>
  <c r="N19" i="130" s="1"/>
  <c r="L18" i="130"/>
  <c r="L17" i="130"/>
  <c r="M17" i="130" s="1"/>
  <c r="L16" i="130"/>
  <c r="N16" i="130" s="1"/>
  <c r="L15" i="130"/>
  <c r="N15" i="130" s="1"/>
  <c r="L14" i="130"/>
  <c r="M14" i="130" s="1"/>
  <c r="L13" i="130"/>
  <c r="N13" i="130" s="1"/>
  <c r="M12" i="130"/>
  <c r="N11" i="130"/>
  <c r="K9" i="130"/>
  <c r="J9" i="130"/>
  <c r="J115" i="130" s="1"/>
  <c r="I9" i="130"/>
  <c r="H9" i="130"/>
  <c r="G9" i="130"/>
  <c r="L19" i="126"/>
  <c r="L18" i="126"/>
  <c r="M18" i="126" s="1"/>
  <c r="L17" i="126"/>
  <c r="L16" i="126"/>
  <c r="I33" i="81" s="1"/>
  <c r="L15" i="126"/>
  <c r="L13" i="126"/>
  <c r="G45" i="134" s="1"/>
  <c r="J10" i="126"/>
  <c r="J20" i="126" s="1"/>
  <c r="I10" i="126"/>
  <c r="I20" i="126" s="1"/>
  <c r="L11" i="126"/>
  <c r="H10" i="126"/>
  <c r="H20" i="126" s="1"/>
  <c r="G10" i="126"/>
  <c r="G20" i="126" s="1"/>
  <c r="E10" i="126"/>
  <c r="E20" i="126" s="1"/>
  <c r="L9" i="126"/>
  <c r="L11" i="112"/>
  <c r="Q12" i="81" s="1"/>
  <c r="L10" i="112"/>
  <c r="M10" i="112" s="1"/>
  <c r="L9" i="112"/>
  <c r="L30" i="113"/>
  <c r="N30" i="113" s="1"/>
  <c r="L29" i="113"/>
  <c r="L27" i="113"/>
  <c r="K26" i="113"/>
  <c r="J26" i="113"/>
  <c r="I26" i="113"/>
  <c r="I31" i="113" s="1"/>
  <c r="H26" i="113"/>
  <c r="E26" i="113"/>
  <c r="L20" i="113"/>
  <c r="L19" i="113"/>
  <c r="L18" i="113"/>
  <c r="N18" i="113" s="1"/>
  <c r="L17" i="113"/>
  <c r="M17" i="113" s="1"/>
  <c r="L16" i="113"/>
  <c r="N16" i="113" s="1"/>
  <c r="L15" i="113"/>
  <c r="M15" i="113" s="1"/>
  <c r="L14" i="113"/>
  <c r="L13" i="113"/>
  <c r="L12" i="113"/>
  <c r="N12" i="113" s="1"/>
  <c r="L10" i="113"/>
  <c r="K9" i="113"/>
  <c r="J9" i="113"/>
  <c r="H9" i="113"/>
  <c r="G9" i="113"/>
  <c r="G31" i="113" s="1"/>
  <c r="E9" i="113"/>
  <c r="C9" i="4"/>
  <c r="L18" i="120"/>
  <c r="L17" i="120"/>
  <c r="L16" i="120"/>
  <c r="L15" i="120"/>
  <c r="L14" i="120"/>
  <c r="L13" i="120"/>
  <c r="L12" i="120"/>
  <c r="L11" i="120"/>
  <c r="L10" i="120"/>
  <c r="L9" i="120"/>
  <c r="C61" i="134"/>
  <c r="C60" i="134"/>
  <c r="C57" i="134"/>
  <c r="C59" i="134"/>
  <c r="C58" i="134"/>
  <c r="C40" i="134"/>
  <c r="B40" i="134"/>
  <c r="C16" i="134"/>
  <c r="F63" i="134"/>
  <c r="E63" i="134"/>
  <c r="F61" i="134"/>
  <c r="E61" i="134"/>
  <c r="D61" i="134"/>
  <c r="F60" i="134"/>
  <c r="D60" i="134"/>
  <c r="D59" i="134"/>
  <c r="G65" i="47"/>
  <c r="H65" i="47" s="1"/>
  <c r="D11" i="144"/>
  <c r="H30" i="80" s="1"/>
  <c r="D9" i="80"/>
  <c r="H9" i="80"/>
  <c r="G9" i="80"/>
  <c r="F9" i="80"/>
  <c r="J37" i="16"/>
  <c r="G67" i="47" s="1"/>
  <c r="I37" i="16"/>
  <c r="H37" i="16"/>
  <c r="G37" i="16"/>
  <c r="F37" i="16"/>
  <c r="E37" i="16"/>
  <c r="K36" i="16"/>
  <c r="K35" i="16"/>
  <c r="K34" i="16"/>
  <c r="J21" i="16"/>
  <c r="K21" i="16" s="1"/>
  <c r="I21" i="16"/>
  <c r="H21" i="16"/>
  <c r="F21" i="16"/>
  <c r="J18" i="16"/>
  <c r="K18" i="16" s="1"/>
  <c r="I18" i="16"/>
  <c r="H18" i="16"/>
  <c r="F18" i="16"/>
  <c r="J15" i="16"/>
  <c r="K15" i="16" s="1"/>
  <c r="I15" i="16"/>
  <c r="H15" i="16"/>
  <c r="F15" i="16"/>
  <c r="J12" i="16"/>
  <c r="K12" i="16" s="1"/>
  <c r="I12" i="16"/>
  <c r="H12" i="16"/>
  <c r="F12" i="16"/>
  <c r="K11" i="16"/>
  <c r="K10" i="16"/>
  <c r="J9" i="16"/>
  <c r="I9" i="16"/>
  <c r="H9" i="16"/>
  <c r="F9" i="16"/>
  <c r="H29" i="2"/>
  <c r="G29" i="2"/>
  <c r="F29" i="2"/>
  <c r="E29" i="2"/>
  <c r="D29" i="2"/>
  <c r="C29" i="2"/>
  <c r="I24" i="2"/>
  <c r="H77" i="47"/>
  <c r="G32" i="47"/>
  <c r="F32" i="47"/>
  <c r="E32" i="47"/>
  <c r="D32" i="47"/>
  <c r="B32" i="47"/>
  <c r="H14" i="47"/>
  <c r="H13" i="47"/>
  <c r="H12" i="47"/>
  <c r="H11" i="47"/>
  <c r="H10" i="47"/>
  <c r="F31" i="12"/>
  <c r="E31" i="12"/>
  <c r="G27" i="12"/>
  <c r="G26" i="12"/>
  <c r="H26" i="12" s="1"/>
  <c r="G24" i="12"/>
  <c r="H24" i="12" s="1"/>
  <c r="G23" i="12"/>
  <c r="H23" i="12" s="1"/>
  <c r="H21" i="12"/>
  <c r="F13" i="12"/>
  <c r="E13" i="12"/>
  <c r="C13" i="12"/>
  <c r="H12" i="12"/>
  <c r="G11" i="12"/>
  <c r="H11" i="12" s="1"/>
  <c r="H10" i="12"/>
  <c r="H9" i="12"/>
  <c r="E87" i="127" l="1"/>
  <c r="G87" i="127"/>
  <c r="H87" i="127"/>
  <c r="M9" i="126"/>
  <c r="N11" i="126"/>
  <c r="G9" i="134"/>
  <c r="G52" i="47"/>
  <c r="H52" i="47" s="1"/>
  <c r="I30" i="80"/>
  <c r="H67" i="47"/>
  <c r="H36" i="80"/>
  <c r="I36" i="80" s="1"/>
  <c r="G47" i="47"/>
  <c r="D47" i="47"/>
  <c r="B47" i="47"/>
  <c r="F47" i="47"/>
  <c r="E47" i="47"/>
  <c r="K115" i="130"/>
  <c r="G115" i="130"/>
  <c r="H115" i="130"/>
  <c r="F13" i="4" s="1"/>
  <c r="N24" i="127"/>
  <c r="M82" i="127"/>
  <c r="N82" i="127"/>
  <c r="M15" i="127"/>
  <c r="N15" i="127"/>
  <c r="M16" i="127"/>
  <c r="N16" i="127"/>
  <c r="N41" i="127"/>
  <c r="L19" i="120"/>
  <c r="D25" i="4"/>
  <c r="B12" i="81"/>
  <c r="D11" i="4"/>
  <c r="B10" i="81"/>
  <c r="D9" i="4"/>
  <c r="L28" i="125"/>
  <c r="M28" i="125"/>
  <c r="L27" i="125"/>
  <c r="M27" i="125"/>
  <c r="D20" i="4"/>
  <c r="L32" i="125"/>
  <c r="M32" i="125"/>
  <c r="E20" i="4"/>
  <c r="F20" i="4"/>
  <c r="L16" i="125"/>
  <c r="M16" i="125"/>
  <c r="N11" i="110"/>
  <c r="D17" i="4"/>
  <c r="M22" i="110"/>
  <c r="N22" i="110"/>
  <c r="M25" i="110"/>
  <c r="N25" i="110"/>
  <c r="M27" i="110"/>
  <c r="N27" i="110"/>
  <c r="F17" i="4"/>
  <c r="E17" i="4"/>
  <c r="F28" i="4"/>
  <c r="E28" i="4"/>
  <c r="F27" i="4"/>
  <c r="E27" i="4"/>
  <c r="M18" i="117"/>
  <c r="N18" i="117"/>
  <c r="M16" i="117"/>
  <c r="N16" i="117"/>
  <c r="N15" i="117"/>
  <c r="M15" i="117"/>
  <c r="M14" i="117"/>
  <c r="N14" i="117"/>
  <c r="M13" i="117"/>
  <c r="N13" i="117"/>
  <c r="N27" i="131"/>
  <c r="N68" i="131"/>
  <c r="M79" i="131"/>
  <c r="N74" i="131"/>
  <c r="N64" i="131"/>
  <c r="M59" i="131"/>
  <c r="N58" i="131"/>
  <c r="M61" i="131"/>
  <c r="N61" i="131"/>
  <c r="N55" i="131"/>
  <c r="M55" i="131"/>
  <c r="N52" i="131"/>
  <c r="N48" i="131"/>
  <c r="M47" i="131"/>
  <c r="M45" i="131"/>
  <c r="M40" i="131"/>
  <c r="N38" i="131"/>
  <c r="D16" i="4"/>
  <c r="M16" i="133"/>
  <c r="N16" i="133"/>
  <c r="F16" i="4"/>
  <c r="E16" i="4"/>
  <c r="J36" i="142"/>
  <c r="C29" i="82" s="1"/>
  <c r="K36" i="142"/>
  <c r="F22" i="4"/>
  <c r="E22" i="4"/>
  <c r="D43" i="47"/>
  <c r="D30" i="4"/>
  <c r="M33" i="142"/>
  <c r="N33" i="142"/>
  <c r="F30" i="4"/>
  <c r="E30" i="4"/>
  <c r="N12" i="117"/>
  <c r="M12" i="117"/>
  <c r="K31" i="113"/>
  <c r="J31" i="113"/>
  <c r="E10" i="4"/>
  <c r="F21" i="4"/>
  <c r="E21" i="4"/>
  <c r="N74" i="130"/>
  <c r="N90" i="130"/>
  <c r="J22" i="130"/>
  <c r="N75" i="130"/>
  <c r="N91" i="130"/>
  <c r="N69" i="130"/>
  <c r="N76" i="130"/>
  <c r="N92" i="130"/>
  <c r="N103" i="130"/>
  <c r="N73" i="130"/>
  <c r="N109" i="130"/>
  <c r="M109" i="130"/>
  <c r="N97" i="130"/>
  <c r="N112" i="130"/>
  <c r="M112" i="130"/>
  <c r="N99" i="130"/>
  <c r="N72" i="130"/>
  <c r="N98" i="130"/>
  <c r="N113" i="130"/>
  <c r="M113" i="130"/>
  <c r="E12" i="4"/>
  <c r="M21" i="118"/>
  <c r="N21" i="118"/>
  <c r="M20" i="118"/>
  <c r="N20" i="118"/>
  <c r="Q19" i="81"/>
  <c r="M19" i="118"/>
  <c r="N19" i="118"/>
  <c r="M18" i="118"/>
  <c r="N18" i="118"/>
  <c r="M17" i="118"/>
  <c r="N17" i="118"/>
  <c r="M16" i="118"/>
  <c r="N16" i="118"/>
  <c r="M15" i="118"/>
  <c r="N15" i="118"/>
  <c r="M14" i="118"/>
  <c r="N14" i="118"/>
  <c r="N13" i="118"/>
  <c r="M13" i="118"/>
  <c r="F11" i="4"/>
  <c r="E11" i="4"/>
  <c r="L13" i="119"/>
  <c r="M13" i="119"/>
  <c r="F25" i="4"/>
  <c r="E25" i="4"/>
  <c r="M26" i="109"/>
  <c r="N26" i="109"/>
  <c r="M16" i="109"/>
  <c r="N16" i="109"/>
  <c r="D19" i="4"/>
  <c r="F19" i="4"/>
  <c r="M18" i="120"/>
  <c r="N17" i="120"/>
  <c r="N16" i="120"/>
  <c r="M16" i="120"/>
  <c r="M15" i="120"/>
  <c r="N15" i="120"/>
  <c r="M14" i="120"/>
  <c r="N14" i="120"/>
  <c r="M13" i="120"/>
  <c r="N13" i="120"/>
  <c r="M12" i="120"/>
  <c r="N12" i="120"/>
  <c r="F9" i="4"/>
  <c r="E9" i="4"/>
  <c r="E27" i="114"/>
  <c r="D15" i="4"/>
  <c r="G48" i="134"/>
  <c r="D21" i="4"/>
  <c r="C47" i="47"/>
  <c r="B43" i="47"/>
  <c r="C27" i="4"/>
  <c r="N57" i="130"/>
  <c r="M57" i="130"/>
  <c r="C11" i="4"/>
  <c r="M13" i="126"/>
  <c r="N13" i="126"/>
  <c r="M16" i="126"/>
  <c r="N16" i="126"/>
  <c r="M15" i="126"/>
  <c r="N15" i="126"/>
  <c r="B28" i="81"/>
  <c r="G22" i="4"/>
  <c r="E23" i="81"/>
  <c r="I25" i="138"/>
  <c r="L9" i="138"/>
  <c r="N13" i="138"/>
  <c r="M13" i="138"/>
  <c r="G27" i="114"/>
  <c r="M83" i="130"/>
  <c r="N83" i="130"/>
  <c r="Q13" i="81"/>
  <c r="E31" i="113"/>
  <c r="E38" i="80"/>
  <c r="O25" i="81"/>
  <c r="L83" i="131"/>
  <c r="N83" i="131" s="1"/>
  <c r="L47" i="127"/>
  <c r="M47" i="127" s="1"/>
  <c r="N40" i="127"/>
  <c r="Q15" i="81"/>
  <c r="G47" i="134"/>
  <c r="L12" i="142"/>
  <c r="L36" i="142" s="1"/>
  <c r="M21" i="142"/>
  <c r="N21" i="142"/>
  <c r="L9" i="130"/>
  <c r="H13" i="134"/>
  <c r="H31" i="113"/>
  <c r="M32" i="142"/>
  <c r="N32" i="142"/>
  <c r="M87" i="131"/>
  <c r="D50" i="134"/>
  <c r="D52" i="134" s="1"/>
  <c r="N25" i="81"/>
  <c r="N33" i="81" s="1"/>
  <c r="N14" i="113"/>
  <c r="B22" i="81"/>
  <c r="C21" i="4"/>
  <c r="H27" i="114"/>
  <c r="B16" i="81"/>
  <c r="N31" i="127"/>
  <c r="M15" i="81"/>
  <c r="E10" i="134"/>
  <c r="E16" i="134" s="1"/>
  <c r="B26" i="81"/>
  <c r="C28" i="4"/>
  <c r="B29" i="81"/>
  <c r="J24" i="16"/>
  <c r="M30" i="127"/>
  <c r="G35" i="134"/>
  <c r="H35" i="134" s="1"/>
  <c r="M29" i="127"/>
  <c r="G11" i="134"/>
  <c r="C19" i="4"/>
  <c r="B20" i="81"/>
  <c r="D19" i="82"/>
  <c r="C19" i="82"/>
  <c r="D20" i="81"/>
  <c r="B21" i="81"/>
  <c r="L20" i="125"/>
  <c r="M11" i="125"/>
  <c r="D20" i="82"/>
  <c r="C20" i="82"/>
  <c r="B20" i="82"/>
  <c r="D21" i="81"/>
  <c r="C21" i="81"/>
  <c r="B22" i="82"/>
  <c r="E22" i="82" s="1"/>
  <c r="D23" i="81"/>
  <c r="C23" i="81"/>
  <c r="L87" i="130"/>
  <c r="M87" i="130" s="1"/>
  <c r="L60" i="130"/>
  <c r="N60" i="130" s="1"/>
  <c r="E34" i="134"/>
  <c r="E40" i="134" s="1"/>
  <c r="K14" i="81"/>
  <c r="K33" i="81" s="1"/>
  <c r="F34" i="134"/>
  <c r="F40" i="134" s="1"/>
  <c r="L14" i="81"/>
  <c r="L33" i="81" s="1"/>
  <c r="P14" i="81"/>
  <c r="P33" i="81" s="1"/>
  <c r="F46" i="134"/>
  <c r="O14" i="81"/>
  <c r="E46" i="134"/>
  <c r="F10" i="134"/>
  <c r="F16" i="134" s="1"/>
  <c r="M12" i="113"/>
  <c r="C17" i="4"/>
  <c r="G49" i="134"/>
  <c r="H49" i="134" s="1"/>
  <c r="M18" i="81"/>
  <c r="G37" i="134"/>
  <c r="N10" i="141"/>
  <c r="C31" i="4"/>
  <c r="B32" i="81"/>
  <c r="C32" i="81"/>
  <c r="D32" i="81"/>
  <c r="D11" i="82"/>
  <c r="C11" i="82"/>
  <c r="B11" i="82"/>
  <c r="D12" i="81"/>
  <c r="C12" i="81"/>
  <c r="M11" i="121"/>
  <c r="D26" i="82"/>
  <c r="C26" i="82"/>
  <c r="B26" i="82"/>
  <c r="D28" i="81"/>
  <c r="C28" i="81"/>
  <c r="B30" i="81"/>
  <c r="D30" i="81"/>
  <c r="C30" i="81"/>
  <c r="C50" i="134"/>
  <c r="C62" i="134" s="1"/>
  <c r="C64" i="134" s="1"/>
  <c r="F50" i="134"/>
  <c r="E50" i="134"/>
  <c r="E62" i="134" s="1"/>
  <c r="N113" i="131"/>
  <c r="M42" i="131"/>
  <c r="M12" i="131"/>
  <c r="N11" i="131"/>
  <c r="G38" i="134"/>
  <c r="M11" i="131"/>
  <c r="N10" i="131"/>
  <c r="M9" i="118"/>
  <c r="L23" i="118"/>
  <c r="C18" i="4"/>
  <c r="B19" i="81"/>
  <c r="D18" i="82"/>
  <c r="C18" i="82"/>
  <c r="B18" i="82"/>
  <c r="N9" i="118"/>
  <c r="D19" i="81"/>
  <c r="C19" i="81"/>
  <c r="D27" i="82"/>
  <c r="C27" i="82"/>
  <c r="L11" i="137"/>
  <c r="M11" i="137"/>
  <c r="L10" i="137"/>
  <c r="M10" i="137"/>
  <c r="B27" i="82"/>
  <c r="D29" i="81"/>
  <c r="C29" i="81"/>
  <c r="B31" i="81"/>
  <c r="G51" i="134"/>
  <c r="H51" i="134" s="1"/>
  <c r="M15" i="142"/>
  <c r="N15" i="142"/>
  <c r="C31" i="81"/>
  <c r="D31" i="81"/>
  <c r="B29" i="82"/>
  <c r="N14" i="142"/>
  <c r="G39" i="134"/>
  <c r="H39" i="134" s="1"/>
  <c r="M14" i="142"/>
  <c r="N9" i="142"/>
  <c r="M9" i="142"/>
  <c r="N11" i="142"/>
  <c r="M11" i="142"/>
  <c r="D29" i="82"/>
  <c r="N13" i="142"/>
  <c r="G15" i="134"/>
  <c r="M13" i="142"/>
  <c r="C25" i="4"/>
  <c r="L9" i="119"/>
  <c r="M9" i="119"/>
  <c r="L12" i="119"/>
  <c r="M12" i="119"/>
  <c r="L15" i="119"/>
  <c r="M15" i="119"/>
  <c r="L16" i="119"/>
  <c r="M16" i="119"/>
  <c r="L10" i="119"/>
  <c r="M10" i="119"/>
  <c r="L11" i="119"/>
  <c r="M11" i="119"/>
  <c r="L14" i="119"/>
  <c r="M14" i="119"/>
  <c r="D25" i="82"/>
  <c r="C25" i="82"/>
  <c r="B25" i="82"/>
  <c r="D26" i="81"/>
  <c r="C26" i="81"/>
  <c r="D21" i="82"/>
  <c r="C21" i="82"/>
  <c r="N23" i="138"/>
  <c r="D22" i="81"/>
  <c r="C22" i="81"/>
  <c r="D30" i="82"/>
  <c r="C30" i="82"/>
  <c r="N9" i="141"/>
  <c r="M9" i="141"/>
  <c r="B30" i="82"/>
  <c r="C16" i="4"/>
  <c r="M22" i="133"/>
  <c r="N22" i="133"/>
  <c r="B17" i="81"/>
  <c r="M14" i="133"/>
  <c r="N14" i="133"/>
  <c r="D16" i="82"/>
  <c r="C16" i="82"/>
  <c r="D17" i="81"/>
  <c r="C17" i="81"/>
  <c r="H45" i="134"/>
  <c r="M11" i="126"/>
  <c r="M11" i="120"/>
  <c r="N11" i="120"/>
  <c r="M10" i="120"/>
  <c r="N10" i="120"/>
  <c r="D9" i="82"/>
  <c r="C9" i="82"/>
  <c r="N9" i="120"/>
  <c r="M9" i="120"/>
  <c r="B9" i="82"/>
  <c r="D10" i="81"/>
  <c r="C10" i="81"/>
  <c r="M19" i="114"/>
  <c r="G36" i="134"/>
  <c r="H36" i="134" s="1"/>
  <c r="K27" i="114"/>
  <c r="J27" i="114"/>
  <c r="N18" i="114"/>
  <c r="G12" i="134"/>
  <c r="H12" i="134" s="1"/>
  <c r="M9" i="114"/>
  <c r="L26" i="113"/>
  <c r="M26" i="113" s="1"/>
  <c r="N10" i="113"/>
  <c r="M10" i="113"/>
  <c r="B10" i="82"/>
  <c r="Q11" i="81"/>
  <c r="M20" i="113"/>
  <c r="N20" i="113"/>
  <c r="I24" i="16"/>
  <c r="H24" i="16"/>
  <c r="F38" i="80"/>
  <c r="G38" i="80"/>
  <c r="I9" i="80"/>
  <c r="D38" i="80"/>
  <c r="C30" i="4"/>
  <c r="C20" i="4"/>
  <c r="D28" i="82"/>
  <c r="B28" i="82"/>
  <c r="C28" i="82"/>
  <c r="N23" i="131"/>
  <c r="M23" i="131"/>
  <c r="N112" i="131"/>
  <c r="M112" i="131"/>
  <c r="N18" i="131"/>
  <c r="M18" i="131"/>
  <c r="N24" i="131"/>
  <c r="M24" i="131"/>
  <c r="M113" i="131"/>
  <c r="N25" i="131"/>
  <c r="M25" i="131"/>
  <c r="N30" i="131"/>
  <c r="M30" i="131"/>
  <c r="N110" i="131"/>
  <c r="M18" i="110"/>
  <c r="B17" i="82"/>
  <c r="N9" i="110"/>
  <c r="N19" i="114"/>
  <c r="L17" i="114"/>
  <c r="N17" i="114" s="1"/>
  <c r="N38" i="127"/>
  <c r="N29" i="127"/>
  <c r="N49" i="127"/>
  <c r="M84" i="127"/>
  <c r="N84" i="127"/>
  <c r="M9" i="127"/>
  <c r="N9" i="127"/>
  <c r="N12" i="127"/>
  <c r="N80" i="127"/>
  <c r="L28" i="127"/>
  <c r="M28" i="127" s="1"/>
  <c r="M34" i="127"/>
  <c r="N61" i="130"/>
  <c r="M82" i="130"/>
  <c r="N56" i="130"/>
  <c r="N102" i="130"/>
  <c r="M102" i="130"/>
  <c r="N80" i="130"/>
  <c r="N50" i="130"/>
  <c r="N59" i="130"/>
  <c r="N51" i="130"/>
  <c r="N52" i="130"/>
  <c r="N53" i="130"/>
  <c r="N55" i="130"/>
  <c r="B11" i="81"/>
  <c r="N79" i="131"/>
  <c r="M74" i="131"/>
  <c r="M64" i="131"/>
  <c r="M65" i="131"/>
  <c r="N59" i="131"/>
  <c r="N54" i="131"/>
  <c r="M48" i="131"/>
  <c r="N49" i="131"/>
  <c r="M39" i="131"/>
  <c r="N34" i="131"/>
  <c r="M32" i="131"/>
  <c r="M10" i="131"/>
  <c r="L10" i="115"/>
  <c r="M9" i="125"/>
  <c r="L12" i="125"/>
  <c r="N16" i="110"/>
  <c r="N25" i="114"/>
  <c r="M35" i="127"/>
  <c r="N30" i="127"/>
  <c r="L96" i="130"/>
  <c r="M96" i="130" s="1"/>
  <c r="N86" i="130"/>
  <c r="N45" i="130"/>
  <c r="M65" i="130"/>
  <c r="N48" i="130"/>
  <c r="N17" i="130"/>
  <c r="B13" i="81"/>
  <c r="M9" i="112"/>
  <c r="D40" i="134"/>
  <c r="N15" i="113"/>
  <c r="N18" i="126"/>
  <c r="N12" i="130"/>
  <c r="N20" i="130"/>
  <c r="N40" i="130"/>
  <c r="L12" i="114"/>
  <c r="M12" i="133"/>
  <c r="L19" i="125"/>
  <c r="M24" i="125"/>
  <c r="L34" i="125"/>
  <c r="M20" i="138"/>
  <c r="L9" i="115"/>
  <c r="M38" i="131"/>
  <c r="N44" i="131"/>
  <c r="M57" i="131"/>
  <c r="M10" i="121"/>
  <c r="M22" i="81"/>
  <c r="L79" i="127"/>
  <c r="N79" i="127" s="1"/>
  <c r="G50" i="134"/>
  <c r="M31" i="81"/>
  <c r="B16" i="134"/>
  <c r="N17" i="113"/>
  <c r="M30" i="113"/>
  <c r="N9" i="112"/>
  <c r="N14" i="130"/>
  <c r="N42" i="130"/>
  <c r="L71" i="130"/>
  <c r="N71" i="130" s="1"/>
  <c r="L79" i="130"/>
  <c r="M16" i="81"/>
  <c r="M26" i="114"/>
  <c r="N10" i="133"/>
  <c r="L13" i="125"/>
  <c r="M17" i="125"/>
  <c r="K37" i="125"/>
  <c r="N16" i="138"/>
  <c r="M21" i="138"/>
  <c r="N80" i="131"/>
  <c r="K12" i="137"/>
  <c r="N9" i="117"/>
  <c r="K26" i="16"/>
  <c r="D57" i="134"/>
  <c r="E57" i="134"/>
  <c r="B52" i="134"/>
  <c r="M18" i="113"/>
  <c r="N10" i="112"/>
  <c r="N9" i="126"/>
  <c r="M11" i="130"/>
  <c r="M15" i="130"/>
  <c r="M19" i="130"/>
  <c r="M39" i="130"/>
  <c r="M43" i="130"/>
  <c r="M37" i="127"/>
  <c r="N9" i="114"/>
  <c r="N14" i="114"/>
  <c r="M11" i="133"/>
  <c r="M22" i="118"/>
  <c r="L18" i="125"/>
  <c r="M17" i="138"/>
  <c r="N78" i="131"/>
  <c r="M81" i="131"/>
  <c r="K12" i="121"/>
  <c r="M9" i="137"/>
  <c r="M11" i="117"/>
  <c r="M14" i="113"/>
  <c r="L18" i="127"/>
  <c r="N50" i="127"/>
  <c r="N81" i="127"/>
  <c r="N10" i="118"/>
  <c r="N12" i="138"/>
  <c r="N35" i="131"/>
  <c r="M37" i="131"/>
  <c r="M66" i="131"/>
  <c r="M75" i="131"/>
  <c r="M88" i="131"/>
  <c r="M9" i="121"/>
  <c r="N81" i="130"/>
  <c r="N17" i="126"/>
  <c r="M17" i="126"/>
  <c r="N42" i="127"/>
  <c r="M42" i="127"/>
  <c r="M10" i="130"/>
  <c r="N10" i="130"/>
  <c r="N18" i="130"/>
  <c r="M18" i="130"/>
  <c r="N38" i="130"/>
  <c r="M38" i="130"/>
  <c r="N21" i="127"/>
  <c r="N13" i="113"/>
  <c r="M13" i="113"/>
  <c r="M24" i="130"/>
  <c r="N24" i="130"/>
  <c r="L12" i="126"/>
  <c r="G33" i="134" s="1"/>
  <c r="K10" i="126"/>
  <c r="K20" i="126" s="1"/>
  <c r="N19" i="126"/>
  <c r="M19" i="126"/>
  <c r="I29" i="2"/>
  <c r="M29" i="113"/>
  <c r="N29" i="113"/>
  <c r="E60" i="134"/>
  <c r="N15" i="131"/>
  <c r="M15" i="131"/>
  <c r="N29" i="131"/>
  <c r="M29" i="131"/>
  <c r="N69" i="131"/>
  <c r="M69" i="131"/>
  <c r="N76" i="131"/>
  <c r="M76" i="131"/>
  <c r="N14" i="138"/>
  <c r="M14" i="138"/>
  <c r="L33" i="127"/>
  <c r="E59" i="134"/>
  <c r="M16" i="113"/>
  <c r="M11" i="112"/>
  <c r="M13" i="130"/>
  <c r="M21" i="130"/>
  <c r="M41" i="130"/>
  <c r="M70" i="130"/>
  <c r="M85" i="130"/>
  <c r="M31" i="127"/>
  <c r="N36" i="127"/>
  <c r="M36" i="127"/>
  <c r="N9" i="133"/>
  <c r="M9" i="133"/>
  <c r="N10" i="138"/>
  <c r="M10" i="138"/>
  <c r="N33" i="131"/>
  <c r="M33" i="131"/>
  <c r="N53" i="131"/>
  <c r="M53" i="131"/>
  <c r="K9" i="16"/>
  <c r="K25" i="16"/>
  <c r="K37" i="16"/>
  <c r="F59" i="134"/>
  <c r="N11" i="112"/>
  <c r="M16" i="130"/>
  <c r="M44" i="130"/>
  <c r="M47" i="130"/>
  <c r="M78" i="130"/>
  <c r="M24" i="127"/>
  <c r="N44" i="127"/>
  <c r="L13" i="110"/>
  <c r="L29" i="110" s="1"/>
  <c r="M22" i="125"/>
  <c r="L22" i="125"/>
  <c r="N11" i="138"/>
  <c r="M11" i="138"/>
  <c r="D58" i="134"/>
  <c r="L9" i="113"/>
  <c r="N48" i="127"/>
  <c r="M48" i="127"/>
  <c r="Q20" i="81"/>
  <c r="N28" i="109"/>
  <c r="M28" i="109"/>
  <c r="M15" i="125"/>
  <c r="L15" i="125"/>
  <c r="M23" i="125"/>
  <c r="L23" i="125"/>
  <c r="L19" i="117"/>
  <c r="C32" i="47"/>
  <c r="F43" i="47"/>
  <c r="L49" i="130"/>
  <c r="G46" i="134" s="1"/>
  <c r="N14" i="110"/>
  <c r="M14" i="110"/>
  <c r="N18" i="109"/>
  <c r="M18" i="109"/>
  <c r="M36" i="125"/>
  <c r="L36" i="125"/>
  <c r="I23" i="133"/>
  <c r="N15" i="110"/>
  <c r="M15" i="110"/>
  <c r="M10" i="115"/>
  <c r="N14" i="131"/>
  <c r="M14" i="131"/>
  <c r="N28" i="131"/>
  <c r="M28" i="131"/>
  <c r="N43" i="131"/>
  <c r="M43" i="131"/>
  <c r="N15" i="114"/>
  <c r="M16" i="110"/>
  <c r="N9" i="109"/>
  <c r="M14" i="125"/>
  <c r="M21" i="125"/>
  <c r="M35" i="125"/>
  <c r="N22" i="138"/>
  <c r="N12" i="131"/>
  <c r="N21" i="131"/>
  <c r="N50" i="131"/>
  <c r="N60" i="131"/>
  <c r="L9" i="121"/>
  <c r="M9" i="115"/>
  <c r="K17" i="119"/>
  <c r="M25" i="81"/>
  <c r="M70" i="131"/>
  <c r="F57" i="134"/>
  <c r="D16" i="134"/>
  <c r="G43" i="47"/>
  <c r="E43" i="47"/>
  <c r="H32" i="47"/>
  <c r="G13" i="12"/>
  <c r="G25" i="12"/>
  <c r="H25" i="12" s="1"/>
  <c r="E13" i="4" l="1"/>
  <c r="H47" i="47"/>
  <c r="L115" i="131"/>
  <c r="N36" i="142"/>
  <c r="M36" i="142"/>
  <c r="F16" i="12"/>
  <c r="E16" i="12"/>
  <c r="N87" i="130"/>
  <c r="M40" i="127"/>
  <c r="E14" i="4"/>
  <c r="F14" i="4"/>
  <c r="D14" i="4"/>
  <c r="E28" i="81"/>
  <c r="L22" i="117"/>
  <c r="M19" i="117"/>
  <c r="N19" i="117"/>
  <c r="N91" i="131"/>
  <c r="L23" i="133"/>
  <c r="H22" i="4"/>
  <c r="H43" i="47"/>
  <c r="L31" i="113"/>
  <c r="E11" i="81" s="1"/>
  <c r="F10" i="4"/>
  <c r="G31" i="4"/>
  <c r="E32" i="81"/>
  <c r="B21" i="82"/>
  <c r="E21" i="82" s="1"/>
  <c r="F12" i="4"/>
  <c r="E26" i="81"/>
  <c r="B19" i="82"/>
  <c r="E19" i="82" s="1"/>
  <c r="E20" i="81"/>
  <c r="C20" i="81"/>
  <c r="E19" i="4"/>
  <c r="E10" i="81"/>
  <c r="C15" i="4"/>
  <c r="F15" i="4"/>
  <c r="C16" i="81"/>
  <c r="E15" i="4"/>
  <c r="E24" i="4"/>
  <c r="F24" i="4"/>
  <c r="D24" i="4"/>
  <c r="E21" i="81"/>
  <c r="D16" i="12"/>
  <c r="E19" i="81"/>
  <c r="C14" i="81"/>
  <c r="G57" i="134"/>
  <c r="M12" i="126"/>
  <c r="N12" i="126"/>
  <c r="L12" i="121"/>
  <c r="O33" i="81"/>
  <c r="M60" i="130"/>
  <c r="L10" i="126"/>
  <c r="L20" i="126" s="1"/>
  <c r="E11" i="82"/>
  <c r="N79" i="130"/>
  <c r="M79" i="130"/>
  <c r="H37" i="134"/>
  <c r="G61" i="134"/>
  <c r="H61" i="134" s="1"/>
  <c r="G63" i="134"/>
  <c r="H9" i="134"/>
  <c r="H14" i="134"/>
  <c r="G62" i="134"/>
  <c r="H11" i="134"/>
  <c r="F58" i="134"/>
  <c r="B15" i="82"/>
  <c r="E9" i="82"/>
  <c r="N47" i="131"/>
  <c r="D62" i="134"/>
  <c r="D64" i="134" s="1"/>
  <c r="Q25" i="81"/>
  <c r="N42" i="131"/>
  <c r="L22" i="130"/>
  <c r="E26" i="82"/>
  <c r="D15" i="82"/>
  <c r="N26" i="113"/>
  <c r="E31" i="81"/>
  <c r="C16" i="12"/>
  <c r="E52" i="134"/>
  <c r="M12" i="137"/>
  <c r="E29" i="81"/>
  <c r="G17" i="4"/>
  <c r="E18" i="81"/>
  <c r="E12" i="81"/>
  <c r="G11" i="4"/>
  <c r="C14" i="4"/>
  <c r="N47" i="127"/>
  <c r="N28" i="127"/>
  <c r="B15" i="81"/>
  <c r="D15" i="81"/>
  <c r="C15" i="81"/>
  <c r="G19" i="4"/>
  <c r="E20" i="82"/>
  <c r="G20" i="4"/>
  <c r="E58" i="134"/>
  <c r="E64" i="134" s="1"/>
  <c r="B13" i="82"/>
  <c r="C13" i="82"/>
  <c r="D13" i="82"/>
  <c r="G34" i="134"/>
  <c r="H34" i="134" s="1"/>
  <c r="F52" i="134"/>
  <c r="D14" i="81"/>
  <c r="B18" i="81"/>
  <c r="D18" i="81"/>
  <c r="C18" i="81"/>
  <c r="E30" i="82"/>
  <c r="G27" i="4"/>
  <c r="E28" i="82"/>
  <c r="G29" i="4"/>
  <c r="C52" i="134"/>
  <c r="M52" i="131"/>
  <c r="B25" i="81"/>
  <c r="B32" i="4"/>
  <c r="F62" i="134"/>
  <c r="M78" i="131"/>
  <c r="M68" i="131"/>
  <c r="N37" i="131"/>
  <c r="M27" i="131"/>
  <c r="H50" i="134"/>
  <c r="D24" i="82"/>
  <c r="C24" i="82"/>
  <c r="B24" i="82"/>
  <c r="D25" i="81"/>
  <c r="C25" i="81"/>
  <c r="E18" i="82"/>
  <c r="G18" i="4"/>
  <c r="E27" i="82"/>
  <c r="G28" i="4"/>
  <c r="L12" i="137"/>
  <c r="E29" i="82"/>
  <c r="H15" i="134"/>
  <c r="N12" i="142"/>
  <c r="M12" i="142"/>
  <c r="E25" i="82"/>
  <c r="G25" i="4"/>
  <c r="C12" i="4"/>
  <c r="G16" i="4"/>
  <c r="B16" i="82"/>
  <c r="E16" i="82" s="1"/>
  <c r="D12" i="82"/>
  <c r="C12" i="82"/>
  <c r="B12" i="82"/>
  <c r="D13" i="81"/>
  <c r="C13" i="81"/>
  <c r="G9" i="4"/>
  <c r="M17" i="114"/>
  <c r="L27" i="114"/>
  <c r="C15" i="82"/>
  <c r="D16" i="81"/>
  <c r="M12" i="114"/>
  <c r="N12" i="114"/>
  <c r="C10" i="82"/>
  <c r="D10" i="82"/>
  <c r="C10" i="4"/>
  <c r="C11" i="81"/>
  <c r="D11" i="81"/>
  <c r="C24" i="4"/>
  <c r="N16" i="131"/>
  <c r="M16" i="131"/>
  <c r="N22" i="131"/>
  <c r="M22" i="131"/>
  <c r="C17" i="82"/>
  <c r="D17" i="82"/>
  <c r="D14" i="82"/>
  <c r="B14" i="82"/>
  <c r="C14" i="82"/>
  <c r="N18" i="127"/>
  <c r="M18" i="127"/>
  <c r="M79" i="127"/>
  <c r="N96" i="130"/>
  <c r="M12" i="121"/>
  <c r="M109" i="131"/>
  <c r="N109" i="131"/>
  <c r="M58" i="131"/>
  <c r="N32" i="131"/>
  <c r="M61" i="130"/>
  <c r="M71" i="130"/>
  <c r="N12" i="112"/>
  <c r="M12" i="112"/>
  <c r="K24" i="16"/>
  <c r="L37" i="125"/>
  <c r="M37" i="125"/>
  <c r="M14" i="81"/>
  <c r="N73" i="131"/>
  <c r="M73" i="131"/>
  <c r="H46" i="134"/>
  <c r="N9" i="131"/>
  <c r="M9" i="131"/>
  <c r="N19" i="120"/>
  <c r="M19" i="120"/>
  <c r="B64" i="134"/>
  <c r="N63" i="131"/>
  <c r="M63" i="131"/>
  <c r="N13" i="110"/>
  <c r="M13" i="110"/>
  <c r="M17" i="119"/>
  <c r="L17" i="119"/>
  <c r="N23" i="118"/>
  <c r="M23" i="118"/>
  <c r="M9" i="130"/>
  <c r="N9" i="130"/>
  <c r="M9" i="138"/>
  <c r="L25" i="138"/>
  <c r="N9" i="138"/>
  <c r="N33" i="127"/>
  <c r="M33" i="127"/>
  <c r="M32" i="109"/>
  <c r="N32" i="109"/>
  <c r="M88" i="130"/>
  <c r="N88" i="130"/>
  <c r="Q14" i="81"/>
  <c r="N49" i="130"/>
  <c r="M49" i="130"/>
  <c r="M66" i="130"/>
  <c r="N66" i="130"/>
  <c r="N23" i="133"/>
  <c r="M23" i="133"/>
  <c r="N9" i="113"/>
  <c r="M9" i="113"/>
  <c r="M13" i="81"/>
  <c r="G22" i="12"/>
  <c r="H22" i="12" s="1"/>
  <c r="H13" i="12"/>
  <c r="B35" i="4" l="1"/>
  <c r="E17" i="81"/>
  <c r="N22" i="117"/>
  <c r="M22" i="117"/>
  <c r="E30" i="81"/>
  <c r="H31" i="4"/>
  <c r="E22" i="81"/>
  <c r="H25" i="4"/>
  <c r="E25" i="81"/>
  <c r="G13" i="4"/>
  <c r="E14" i="81"/>
  <c r="H62" i="134"/>
  <c r="F64" i="134"/>
  <c r="E15" i="82"/>
  <c r="M22" i="130"/>
  <c r="G10" i="134"/>
  <c r="N22" i="130"/>
  <c r="E16" i="81"/>
  <c r="H19" i="4"/>
  <c r="B33" i="81"/>
  <c r="H20" i="4"/>
  <c r="E13" i="82"/>
  <c r="E10" i="82"/>
  <c r="C32" i="4"/>
  <c r="H11" i="4"/>
  <c r="H27" i="4"/>
  <c r="H29" i="4"/>
  <c r="D31" i="82"/>
  <c r="E32" i="4"/>
  <c r="E24" i="82"/>
  <c r="G24" i="4"/>
  <c r="H18" i="4"/>
  <c r="H28" i="4"/>
  <c r="G30" i="4"/>
  <c r="G21" i="4"/>
  <c r="H16" i="4"/>
  <c r="B31" i="82"/>
  <c r="C33" i="81"/>
  <c r="E12" i="82"/>
  <c r="F32" i="4"/>
  <c r="C31" i="82"/>
  <c r="M27" i="114"/>
  <c r="N27" i="114"/>
  <c r="G15" i="4"/>
  <c r="D33" i="81"/>
  <c r="G10" i="4"/>
  <c r="D32" i="4"/>
  <c r="E17" i="82"/>
  <c r="E14" i="82"/>
  <c r="M62" i="127"/>
  <c r="N62" i="127"/>
  <c r="M33" i="81"/>
  <c r="G31" i="12"/>
  <c r="H31" i="12" s="1"/>
  <c r="N31" i="113"/>
  <c r="M31" i="113"/>
  <c r="N25" i="138"/>
  <c r="M25" i="138"/>
  <c r="M10" i="126"/>
  <c r="N10" i="126"/>
  <c r="E13" i="81"/>
  <c r="N29" i="110"/>
  <c r="M29" i="110"/>
  <c r="H17" i="4"/>
  <c r="H9" i="4"/>
  <c r="N115" i="130"/>
  <c r="M115" i="130"/>
  <c r="H33" i="134"/>
  <c r="G40" i="134"/>
  <c r="H40" i="134" s="1"/>
  <c r="N115" i="131"/>
  <c r="M115" i="131"/>
  <c r="B46" i="47" l="1"/>
  <c r="H13" i="4"/>
  <c r="H24" i="4"/>
  <c r="C35" i="4"/>
  <c r="G58" i="134"/>
  <c r="H58" i="134" s="1"/>
  <c r="H10" i="134"/>
  <c r="G16" i="134"/>
  <c r="H16" i="134" s="1"/>
  <c r="H15" i="4"/>
  <c r="H10" i="4"/>
  <c r="E35" i="4"/>
  <c r="E31" i="82"/>
  <c r="H30" i="4"/>
  <c r="H21" i="4"/>
  <c r="G12" i="4"/>
  <c r="F35" i="4"/>
  <c r="D35" i="4"/>
  <c r="H57" i="134"/>
  <c r="N20" i="126"/>
  <c r="M20" i="126"/>
  <c r="D46" i="47" l="1"/>
  <c r="E46" i="47"/>
  <c r="F46" i="47"/>
  <c r="C46" i="47"/>
  <c r="C74" i="47" s="1"/>
  <c r="H12" i="4"/>
  <c r="E74" i="47" l="1"/>
  <c r="D74" i="47"/>
  <c r="F74" i="47"/>
  <c r="C83" i="47"/>
  <c r="C15" i="12"/>
  <c r="C17" i="12" s="1"/>
  <c r="C19" i="12" s="1"/>
  <c r="G60" i="134"/>
  <c r="G59" i="134"/>
  <c r="Q33" i="81"/>
  <c r="E83" i="47" l="1"/>
  <c r="F83" i="47"/>
  <c r="F15" i="12"/>
  <c r="F17" i="12" s="1"/>
  <c r="F19" i="12" s="1"/>
  <c r="F33" i="12" s="1"/>
  <c r="E15" i="12"/>
  <c r="E17" i="12" s="1"/>
  <c r="E19" i="12" s="1"/>
  <c r="E33" i="12" s="1"/>
  <c r="D83" i="47"/>
  <c r="D15" i="12"/>
  <c r="D17" i="12" s="1"/>
  <c r="D19" i="12" s="1"/>
  <c r="D33" i="12" s="1"/>
  <c r="H48" i="134"/>
  <c r="H60" i="134"/>
  <c r="H47" i="134"/>
  <c r="G52" i="134"/>
  <c r="H52" i="134" s="1"/>
  <c r="E85" i="47" l="1"/>
  <c r="F85" i="47"/>
  <c r="D85" i="47"/>
  <c r="H59" i="134"/>
  <c r="G64" i="134"/>
  <c r="H64" i="134" s="1"/>
  <c r="C43" i="47"/>
  <c r="C21" i="12"/>
  <c r="C31" i="12" s="1"/>
  <c r="C33" i="12" s="1"/>
  <c r="M56" i="127"/>
  <c r="N61" i="127"/>
  <c r="C85" i="47" l="1"/>
  <c r="N56" i="127"/>
  <c r="E15" i="81" l="1"/>
  <c r="E33" i="81" s="1"/>
  <c r="M87" i="127"/>
  <c r="G14" i="4"/>
  <c r="N87" i="127"/>
  <c r="H14" i="4" l="1"/>
  <c r="G32" i="4"/>
  <c r="G46" i="47" s="1"/>
  <c r="H46" i="47" s="1"/>
  <c r="H32" i="4" l="1"/>
  <c r="G74" i="47" l="1"/>
  <c r="H53" i="47"/>
  <c r="H38" i="80"/>
  <c r="I31" i="80"/>
  <c r="H74" i="47" l="1"/>
  <c r="G16" i="12"/>
  <c r="H16" i="12" s="1"/>
  <c r="I38" i="80"/>
  <c r="G83" i="47"/>
  <c r="G15" i="12" l="1"/>
  <c r="G85" i="47"/>
  <c r="H83" i="47"/>
  <c r="G17" i="12" l="1"/>
  <c r="G19" i="12" s="1"/>
  <c r="H15" i="12"/>
  <c r="H17" i="12" l="1"/>
  <c r="H19" i="12"/>
  <c r="G33" i="12"/>
  <c r="C38" i="80"/>
  <c r="B16" i="12" s="1"/>
  <c r="B74" i="47"/>
  <c r="B83" i="47" s="1"/>
  <c r="B85" i="47" s="1"/>
  <c r="B15" i="12" l="1"/>
</calcChain>
</file>

<file path=xl/sharedStrings.xml><?xml version="1.0" encoding="utf-8"?>
<sst xmlns="http://schemas.openxmlformats.org/spreadsheetml/2006/main" count="2110" uniqueCount="597">
  <si>
    <t>v tis. Kč</t>
  </si>
  <si>
    <t>Ukazatel</t>
  </si>
  <si>
    <t>Příjmy</t>
  </si>
  <si>
    <t>Podíly na daních (třída 1)</t>
  </si>
  <si>
    <t>Příjmy z úroků na bankovních účtech (třída 2)</t>
  </si>
  <si>
    <t>Příjmy z pronájmu majetku příspěvkových organizací (třída 2)</t>
  </si>
  <si>
    <t>Příjmy z prodeje majetku (třída 3)</t>
  </si>
  <si>
    <t>Finanční dotační vztah státního rozpočtu k rozpočtu kraje na výkon přenesené působnosti (třída 4)</t>
  </si>
  <si>
    <t>Dotace ze státního rozpočtu - školství (třída 4)</t>
  </si>
  <si>
    <t>Příjmy celkem</t>
  </si>
  <si>
    <t>Financování ve zdrojích</t>
  </si>
  <si>
    <t>Zdroje celkem</t>
  </si>
  <si>
    <t>V ý d a j e</t>
  </si>
  <si>
    <t>Běžné výdaje kapitol</t>
  </si>
  <si>
    <t>Výdaje celkem</t>
  </si>
  <si>
    <t>Financování ve výdajích</t>
  </si>
  <si>
    <t>Splátky přijatého úvěru kraje (jistina)</t>
  </si>
  <si>
    <t>Celková bilance hospodaření</t>
  </si>
  <si>
    <t>01</t>
  </si>
  <si>
    <t>Středočeský Fond podpory dobrovolných hasičů a složek IZS</t>
  </si>
  <si>
    <t>06</t>
  </si>
  <si>
    <t xml:space="preserve">Středočeský Fond kultury a obnovy památek </t>
  </si>
  <si>
    <t>10</t>
  </si>
  <si>
    <t xml:space="preserve">Středočeský Fond životního prostředí a zemědělství </t>
  </si>
  <si>
    <t>17</t>
  </si>
  <si>
    <t>Kapitola</t>
  </si>
  <si>
    <t xml:space="preserve">01 - Činnost zastupitelstva </t>
  </si>
  <si>
    <t>02 - Činnost krajského úřadu</t>
  </si>
  <si>
    <t>03 - Informatika</t>
  </si>
  <si>
    <t>04 - Doprava</t>
  </si>
  <si>
    <t>06 - Kultura a památková péče</t>
  </si>
  <si>
    <t>07 - Zdravotnictví</t>
  </si>
  <si>
    <t>08 - Regionální rozvoj</t>
  </si>
  <si>
    <t>09 - Evropská integrace</t>
  </si>
  <si>
    <t>10 - Životní prostředí a zemědělství</t>
  </si>
  <si>
    <t>11 - Správa majetku</t>
  </si>
  <si>
    <t>13 - Krajský investor</t>
  </si>
  <si>
    <t>17 - Sociální věci</t>
  </si>
  <si>
    <t>23 - Ostatní</t>
  </si>
  <si>
    <t xml:space="preserve">Přehled běžných výdajů jednotlivých kapitol </t>
  </si>
  <si>
    <t xml:space="preserve">Sumář příjmů a výdajů </t>
  </si>
  <si>
    <t>Financování celkem</t>
  </si>
  <si>
    <t>Saldo (příjmy - výdaje)</t>
  </si>
  <si>
    <t xml:space="preserve">Výdaje celkem </t>
  </si>
  <si>
    <t>Třída 3 - Kapitálové příjmy</t>
  </si>
  <si>
    <t>Třída 2 - Nedaňové příjmy</t>
  </si>
  <si>
    <t>Třída 1 - Daňové příjmy</t>
  </si>
  <si>
    <t xml:space="preserve">Celková bilance hospodaření </t>
  </si>
  <si>
    <t xml:space="preserve">Splátky úroků z přijatého úvěru kraje </t>
  </si>
  <si>
    <t xml:space="preserve">Dluhová služba za úvěr nemocnic celkem </t>
  </si>
  <si>
    <t>Dluhová služba za úvěr nemocnic z roku 2008</t>
  </si>
  <si>
    <t>Středočeské Fondy - grantové a dotační výdaje kapitol</t>
  </si>
  <si>
    <t>Havarijní fond pro ochranu jakosti vod SK (kapitola 10)</t>
  </si>
  <si>
    <t>Dotace ze státního rozpočtu - školství (kapitola 05)</t>
  </si>
  <si>
    <t>14 - Řízení lidských zdrojů</t>
  </si>
  <si>
    <t>16 - Správní agendy</t>
  </si>
  <si>
    <t>Správní poplatky (třída 1)</t>
  </si>
  <si>
    <t>Dluhová služba za úvěr kraje celkem</t>
  </si>
  <si>
    <t>Středočeské Fondy celkem</t>
  </si>
  <si>
    <t>Běžné výdaje kapitol celkem</t>
  </si>
  <si>
    <t>-</t>
  </si>
  <si>
    <t>Dotace ze státního rozpočtu - ostatní oblasti rozpočtu (třída 4)</t>
  </si>
  <si>
    <t>Příjmy z převodu z účtů a z fondů (třída 4)</t>
  </si>
  <si>
    <t>Ostatní nedaňové příjmy (třída 2)</t>
  </si>
  <si>
    <t xml:space="preserve">Dotace ze státního rozpočtu - ostatní oblasti rozpočtu </t>
  </si>
  <si>
    <t>Finanční vypořádání minulých let se státním rozpočtem (kapitola 21)</t>
  </si>
  <si>
    <t>20 - Sociální fond</t>
  </si>
  <si>
    <t>Zapojení zůstatku hospodaření z minulých let *)</t>
  </si>
  <si>
    <t>Opravné položky</t>
  </si>
  <si>
    <t>07</t>
  </si>
  <si>
    <t>Středočeské Fondy v rámci jednotlivých kapitol</t>
  </si>
  <si>
    <t>Celkem běžné výdaje kapitol po konsolidaci</t>
  </si>
  <si>
    <t>Dotace ze státního rozpočtu a ostatních veřejných rozpočtů</t>
  </si>
  <si>
    <t>Dluhová služba za úvěr nemocnic</t>
  </si>
  <si>
    <t>Výdaje na reprodukci majetku příspěvkových organizací (financované z vybraných příjmů z pronájmu)</t>
  </si>
  <si>
    <t>Kapitálové výdaje</t>
  </si>
  <si>
    <t>Třída 5 - Běžné výdaje</t>
  </si>
  <si>
    <t>Třída 6 - Kapitálové výdaje</t>
  </si>
  <si>
    <t>Kapitálové výdaje celkem</t>
  </si>
  <si>
    <t>Středočeský Humanitární fond</t>
  </si>
  <si>
    <t>Středočeský Fond obnovy venkova</t>
  </si>
  <si>
    <t>15 - Územní a stavební řízení</t>
  </si>
  <si>
    <t>18 - Legislativně právní</t>
  </si>
  <si>
    <t>24 - Podpora příspěvkových organizací</t>
  </si>
  <si>
    <t>25 - Bezpečnost a prevence</t>
  </si>
  <si>
    <t>Celkem</t>
  </si>
  <si>
    <t>Běžné výdaje celkem</t>
  </si>
  <si>
    <t>z toho: výdaje na opravy a údržbu majetku</t>
  </si>
  <si>
    <t>Paragraf</t>
  </si>
  <si>
    <t>Poplatky za znečišťování ovzduší (třída 1)</t>
  </si>
  <si>
    <t>Název</t>
  </si>
  <si>
    <t>09</t>
  </si>
  <si>
    <t>Třída 4 - Přijaté transfery</t>
  </si>
  <si>
    <t>Zesmluvněné dotace na vodohospodářskou infrastrukturu vyplácené prostřednictvím Středočeského Fondu životního prostředí a zemědělství - financované z vybraných poplatků za odebrané množství podzemní vody</t>
  </si>
  <si>
    <t xml:space="preserve">Zůstatek hospodaření z minulého roku </t>
  </si>
  <si>
    <t>05 - Školství</t>
  </si>
  <si>
    <t>z toho:</t>
  </si>
  <si>
    <t xml:space="preserve">01 - Činnost Zastupitelstva </t>
  </si>
  <si>
    <t>02 - Činnost Krajského úřadu</t>
  </si>
  <si>
    <t>Výdaje na havárie</t>
  </si>
  <si>
    <t>Předfinancování a kofinancování projektů spolufinancovaných z národních zdrojů a ostatní související výdaje s projekty z národních zdrojů</t>
  </si>
  <si>
    <t>Středočeský Fond podpory včasné přípravy projektů EU 2021+ a NIP</t>
  </si>
  <si>
    <t>Kapitola 23 - Ostatní</t>
  </si>
  <si>
    <t>Oblast rozpočtu</t>
  </si>
  <si>
    <t xml:space="preserve">Běžné výdaje </t>
  </si>
  <si>
    <t>Činnost regionální správy</t>
  </si>
  <si>
    <t>Obecné příjmy a výdaje z finančních operací</t>
  </si>
  <si>
    <t>Ostatní finanční operace</t>
  </si>
  <si>
    <t>Schválený rozpočet</t>
  </si>
  <si>
    <t xml:space="preserve">Schválený rozpočet </t>
  </si>
  <si>
    <t>Skutečnost k 31.12.</t>
  </si>
  <si>
    <t>Školení příspěvkových organizací</t>
  </si>
  <si>
    <t>Silnice</t>
  </si>
  <si>
    <t>Ostatní záležitosti pozemních komunikací</t>
  </si>
  <si>
    <t>Ostatní záležitosti v dopravě</t>
  </si>
  <si>
    <t>Pitná voda</t>
  </si>
  <si>
    <t>Gymnázia</t>
  </si>
  <si>
    <t>Střední odborné školy</t>
  </si>
  <si>
    <t>Dětské domovy</t>
  </si>
  <si>
    <t>Zdravotnická záchranná služba</t>
  </si>
  <si>
    <t>Územní rozvoj</t>
  </si>
  <si>
    <t>Chráněné části přírody</t>
  </si>
  <si>
    <t>Domovy pro seniory</t>
  </si>
  <si>
    <t>Denní stacionáře a centra denních služeb</t>
  </si>
  <si>
    <t>Zastupitelstva krajů</t>
  </si>
  <si>
    <t>Obligatorní výdaje</t>
  </si>
  <si>
    <t>Semifakultativní výdaje</t>
  </si>
  <si>
    <t>Skutečnost            k 31. 12.</t>
  </si>
  <si>
    <t>Kapitola 05 - Školství</t>
  </si>
  <si>
    <t>Mateřské školy pro děti se speciálními vzdělávacími potřebami</t>
  </si>
  <si>
    <t>Základní školy pro žáky se speciálními vzdělávacími potřebami</t>
  </si>
  <si>
    <t>Střední školy poskytující střední vzdělání s výučním listem</t>
  </si>
  <si>
    <t>Zařízení výchovného poradenství</t>
  </si>
  <si>
    <t>Základní umělecké školy</t>
  </si>
  <si>
    <t>Ostatní správa ve vzdělávání jinde nezařazená</t>
  </si>
  <si>
    <t>3294</t>
  </si>
  <si>
    <t>Zařízení pro další vzdělávání  pedagogických pracovníků</t>
  </si>
  <si>
    <t>Využití volného času dětí a mládeže</t>
  </si>
  <si>
    <t>příspěvek na provoz</t>
  </si>
  <si>
    <t>příspěvek na běžné opravy a udržování</t>
  </si>
  <si>
    <t>Provoz škol - nájemné</t>
  </si>
  <si>
    <t>3269</t>
  </si>
  <si>
    <t>Velké opravy a havárie</t>
  </si>
  <si>
    <t>Sportovní centra mládeže</t>
  </si>
  <si>
    <t>Podpora zahraničních aktivit škol</t>
  </si>
  <si>
    <t>Prevence patologických jevů</t>
  </si>
  <si>
    <t>Ostatní činnosti související se službami pro obyvatelstvo</t>
  </si>
  <si>
    <t>Ochrana obyvatelstva</t>
  </si>
  <si>
    <t>Krizová opatření</t>
  </si>
  <si>
    <t>Záležitosti krizového řízení jinde nezařazené</t>
  </si>
  <si>
    <t>výdaje na opravy a údržbu majetku</t>
  </si>
  <si>
    <t>Ostatní činnosti jinde nezařazené</t>
  </si>
  <si>
    <t>Kapitola 11 - Správa majetku</t>
  </si>
  <si>
    <t>Bytové hospodářství</t>
  </si>
  <si>
    <t>výdaje na běžné opravy a udržování</t>
  </si>
  <si>
    <t>Nebytové hospodářství</t>
  </si>
  <si>
    <t>Kapitola 10 - Životní prostředí a zemědělství</t>
  </si>
  <si>
    <t>Ostatní zemědělská a potravinářská činnost a rozvoj</t>
  </si>
  <si>
    <t>Monitoring ochrany ovzduší</t>
  </si>
  <si>
    <t>Prevence vzniku odpadů</t>
  </si>
  <si>
    <t>Ostatní nakládání s odpady</t>
  </si>
  <si>
    <t>Ochrana druhů a stanovišť</t>
  </si>
  <si>
    <t>Ostatní správa v ochraně životního prostředí</t>
  </si>
  <si>
    <t>Ekologická výchova a osvěta</t>
  </si>
  <si>
    <t>Ostatní ekologické záležitosti</t>
  </si>
  <si>
    <t>Mezinárodní spolupráce (jinde nezařazená)</t>
  </si>
  <si>
    <t>Kapitola 03 - Informatika</t>
  </si>
  <si>
    <t>Kapitola 17 - Sociální věci</t>
  </si>
  <si>
    <t>Odborné sociální poradenství - příspěvek příspěvkovým organizacím</t>
  </si>
  <si>
    <t>Ostatní sociální péče a pomoc rodině a manželství</t>
  </si>
  <si>
    <t>Sociální rehabilitace - příspěvek příspěvkovým organizacím</t>
  </si>
  <si>
    <t>Ostatní sociální péče a pomoc ostatním skupinám obyvatelstva</t>
  </si>
  <si>
    <t>Domovy pro seniory - příspěvek příspěvkovým organizacím</t>
  </si>
  <si>
    <t>Osobní asistence, pečovatelská služba a podpora samostatného bydlení - příspěvek příspěvkovým organizacím</t>
  </si>
  <si>
    <t>Chráněné bydlení - příspěvek příspěvkovým organizacím</t>
  </si>
  <si>
    <t>Týdenní stacionáře - příspěvek příspěvkovým organizacím</t>
  </si>
  <si>
    <t>Denní stacionáře a centra denních služeb - příspěvek příspěvkovým organizacím</t>
  </si>
  <si>
    <t>Domovy pro osoby se zdravotním postižením a domovy se zvláštním režimem - příspěvek příspěvkovým organizacím</t>
  </si>
  <si>
    <t>Ostatní správa v sociálním zabezpečení a politice zaměstnanosti</t>
  </si>
  <si>
    <t>Služby následné péče, terapeutické komunity a kontaktní centra - příspěvek příspěvkovým organizacím</t>
  </si>
  <si>
    <t>Sociálně terapeutické dílny - příspěvek příspěvkovým organizacím</t>
  </si>
  <si>
    <t>Terénní programy - příspěvek příspěvkovým organizacím</t>
  </si>
  <si>
    <t>Ostatní služby a činnosti v oblasti sociální prevence - příspěvek příspěvkovým organizacím</t>
  </si>
  <si>
    <t>Ostatní záležitosti sociálních věcí a politiky zaměstnanosti</t>
  </si>
  <si>
    <t>Ostatní záležitosti sociálních věcí a politiky zaměstnanosti - POSEZ</t>
  </si>
  <si>
    <t>Havárie a opravy</t>
  </si>
  <si>
    <t xml:space="preserve"> </t>
  </si>
  <si>
    <t>Kapitola 09 - Evropská integrace</t>
  </si>
  <si>
    <t>Vesnice roku</t>
  </si>
  <si>
    <t xml:space="preserve">Kapitola 08 - Regionální rozvoj </t>
  </si>
  <si>
    <t>Příprava a udržitelnost projektů regionálního rozvoje</t>
  </si>
  <si>
    <t>Strategické dokumenty</t>
  </si>
  <si>
    <t>Místní akční skupiny</t>
  </si>
  <si>
    <t>Klub českých turistů</t>
  </si>
  <si>
    <t>Středočeské inovační centrum</t>
  </si>
  <si>
    <t>Kapitola 13 - Krajský investor</t>
  </si>
  <si>
    <t>Bezpečnost silničního provozu</t>
  </si>
  <si>
    <t>Činnost muzeí a galerií</t>
  </si>
  <si>
    <t>Ostatní ústavní péče</t>
  </si>
  <si>
    <t>Domovy pro osoby se zdravotním postižením a domovy se zvláštním režimem</t>
  </si>
  <si>
    <t>Kapitola 25 - Bezpečnost a prevence</t>
  </si>
  <si>
    <t xml:space="preserve">Podpora kvality škol a rozvojové projekty </t>
  </si>
  <si>
    <t>Převody vlastním fondům v rozpočtech územní úrovně</t>
  </si>
  <si>
    <t>Podpora podnikání - příspěvek příspěvkové organizaci Regionální dotační kancelář</t>
  </si>
  <si>
    <t>Kapitola 06 - Kultura a památková péče</t>
  </si>
  <si>
    <t xml:space="preserve">Činnosti knihovnické - příspěvek příspěvkovým organizacím </t>
  </si>
  <si>
    <t xml:space="preserve">Činnosti muzeí a galerií - příspěvek příspěvkovým organizacím </t>
  </si>
  <si>
    <t xml:space="preserve">Činnosti památkových ústavů, hradů a zámků - příspěvek příspěvkovým organizacím </t>
  </si>
  <si>
    <t xml:space="preserve">Vědecko-výzkumné archeologické projekty </t>
  </si>
  <si>
    <t>Středočeská vědecká knihovna v Kladně</t>
  </si>
  <si>
    <t>Městská knihovna Benešov</t>
  </si>
  <si>
    <t>Městská knihovna Kutná Hora</t>
  </si>
  <si>
    <t>Knihovna města Mladá Boleslav</t>
  </si>
  <si>
    <t>Knihovna Jana Drdy Příbram</t>
  </si>
  <si>
    <t>Podpora živé kultury</t>
  </si>
  <si>
    <t>Stavba roku</t>
  </si>
  <si>
    <t>Dny lidové architektury</t>
  </si>
  <si>
    <t>Metodická a koncepční činnost odboru</t>
  </si>
  <si>
    <t>Program na obnovu památek určených ke společenskému využití</t>
  </si>
  <si>
    <t>Lékařská služba první pomoci</t>
  </si>
  <si>
    <t>Zdravotnická záchranná služba - příspěvek příspěvkovým organizacím</t>
  </si>
  <si>
    <t>Ostatní činnost ve zdravotnictví - odbor</t>
  </si>
  <si>
    <t>Ostatní činnost ve zdravotnictví - nehrazené činnosti ze zdravotního pojištění</t>
  </si>
  <si>
    <t>Kapitola 07 - Zdravotnictví</t>
  </si>
  <si>
    <t>Kapitola 04 - Doprava</t>
  </si>
  <si>
    <t xml:space="preserve">Silnice - příspěvek příspěvkové organizaci Krajská správa a údržba silnic Středočeského kraje </t>
  </si>
  <si>
    <t>Ostatní záležitosti vnitrozemské plavby - dotace přívozy</t>
  </si>
  <si>
    <t>Středočeský Fond návratných finančních zdrojů</t>
  </si>
  <si>
    <t>501 platy</t>
  </si>
  <si>
    <t xml:space="preserve">Příspěvky zřízeným příspěvkovým organizacím </t>
  </si>
  <si>
    <t>Příspěvek na běžné opravy a udržování zřízeným příspěvkovým organizacím celkem</t>
  </si>
  <si>
    <t xml:space="preserve">Ostatní ústavní péče (dětská centra) - příspěvek příspěvkovým organizacím </t>
  </si>
  <si>
    <t>25</t>
  </si>
  <si>
    <t>Opravné položky k peněžním operacím</t>
  </si>
  <si>
    <t>Požární ochrana - dobrovolná část</t>
  </si>
  <si>
    <t>Ostatní správa v oblasti krizového řízení</t>
  </si>
  <si>
    <t>04</t>
  </si>
  <si>
    <t>Specifické rezervy - vedené na kapitole 23 - Ostatní</t>
  </si>
  <si>
    <t>Středočeský Fond sportu a volného času</t>
  </si>
  <si>
    <t xml:space="preserve">Středočeský Fond sportu a volného času </t>
  </si>
  <si>
    <t>Středočeský Fond prevence</t>
  </si>
  <si>
    <t>Specifické rezervy celkem</t>
  </si>
  <si>
    <t>Kapitola 15 - Územní a stavební řízení</t>
  </si>
  <si>
    <t xml:space="preserve">Kapitola 18 - Legislativně právní </t>
  </si>
  <si>
    <t>Kapitola 01 - Činnost Zastupitelstva</t>
  </si>
  <si>
    <t>Kapitola 02 - Činnost Krajského úřadu</t>
  </si>
  <si>
    <t xml:space="preserve">07 - Zdravotnictví   </t>
  </si>
  <si>
    <t xml:space="preserve">Příspěvek na provoz zřízeným příspěvkovým organizacím celkem </t>
  </si>
  <si>
    <t>590 ostatní neinvestiční výdaje</t>
  </si>
  <si>
    <t>příspěvek na provoz (jízdenkové kotouče, MOS)</t>
  </si>
  <si>
    <t>Konsolidace Sociálního fondu</t>
  </si>
  <si>
    <t>Středočeský Fond kultury a obnovy památek</t>
  </si>
  <si>
    <t>Středočeský Fond životního prostředí a zemědělství</t>
  </si>
  <si>
    <t>TABULKOVÁ ČÁST</t>
  </si>
  <si>
    <t>Střediska praktického vyučování a školní hospodářství</t>
  </si>
  <si>
    <t>Výdaje na havárie (kapitola 23)</t>
  </si>
  <si>
    <t>Výdaje na reprodukci majetku příspěvkových organizací - financované z vybraných příjmů z pronájmu (kapitola 23)</t>
  </si>
  <si>
    <t>Výdaje na krytí očekávaných výdajů kapitol (kapitola 23)</t>
  </si>
  <si>
    <t>Výdaje dle programů (kapitola 23)</t>
  </si>
  <si>
    <t>Specifické rezervy (kapitola 23)</t>
  </si>
  <si>
    <t>Středočeský Fond rozvoje doprovodné infrastruktury</t>
  </si>
  <si>
    <t>Kapitola 24 - Podpora příspěvkových organizací</t>
  </si>
  <si>
    <t>Kapitola 14 - Řízení lidských zdrojů</t>
  </si>
  <si>
    <t xml:space="preserve">Dluhová služba za úvěry Středočeského kraje </t>
  </si>
  <si>
    <t>514 úroky a ostatní finanční výdaje</t>
  </si>
  <si>
    <t>536 ostatní neinvestiční transfery jiným veřejným rozpočtům, platby daní a další povinné platby</t>
  </si>
  <si>
    <t>Ostatní služby a činnosti v oblasti sociální péče - příspěvek příspěvkovým organizacím</t>
  </si>
  <si>
    <t>Azylové domy, nízkoprahová denní centra a noclehárny - příspěvek příspěvkovým organizacím</t>
  </si>
  <si>
    <r>
      <rPr>
        <b/>
        <sz val="11"/>
        <rFont val="Calibri"/>
        <family val="2"/>
        <charset val="238"/>
        <scheme val="minor"/>
      </rPr>
      <t xml:space="preserve">Oblastní nemocnice Kolín, a.s., nemocnice Středočeského kraje </t>
    </r>
    <r>
      <rPr>
        <sz val="11"/>
        <rFont val="Calibri"/>
        <family val="2"/>
        <charset val="238"/>
        <scheme val="minor"/>
      </rPr>
      <t>(výstavba nové budovy - objektu F se 4 lůžkovými stanicemi po 25 lůžkách s ambulantním traktem a vybavením novými zdravotnickými technologiemi v prostorách nemocnice)</t>
    </r>
  </si>
  <si>
    <r>
      <rPr>
        <b/>
        <sz val="11"/>
        <rFont val="Calibri"/>
        <family val="2"/>
        <charset val="238"/>
        <scheme val="minor"/>
      </rPr>
      <t>Oblastní nemocnice Kladno, a.s. nemocnice Středočeského kraje</t>
    </r>
    <r>
      <rPr>
        <sz val="11"/>
        <rFont val="Calibri"/>
        <family val="2"/>
        <charset val="238"/>
        <scheme val="minor"/>
      </rPr>
      <t xml:space="preserve"> (výstavba dvou nových budov - pavilonu akutní medicíny a transfúzní stanice a jejich vybavení nemocničním zařízením v prostorách nemocnice)</t>
    </r>
  </si>
  <si>
    <t>Má vlast cestami proměn</t>
  </si>
  <si>
    <t>Účinnější péče o tradiční lidovou kulturu</t>
  </si>
  <si>
    <t>Ostatní záležitosti požární ochrany a integrovaného záchranného systému</t>
  </si>
  <si>
    <t>Středočeský Fond podpory včasné přípravy projektů  EU 2021+ a NIP</t>
  </si>
  <si>
    <t>Humanitární zahraniční pomoc přímá</t>
  </si>
  <si>
    <t>Konečná splatnost</t>
  </si>
  <si>
    <t>Limit úvěru</t>
  </si>
  <si>
    <t>Zesmluvněné dotace na vodohospodářskou infrastrukturu vyplácené prostřednictvím Středočeského Fondu životního prostředí a zemědělství - financované z vybraných poplatků za odebrané množství podzemní vody (kapitola 10)</t>
  </si>
  <si>
    <t xml:space="preserve">Prevence před drogami, alkoholem, nikotinem a jinými závislostmi </t>
  </si>
  <si>
    <t>Kapitálové (investiční) výdaje zařazené v Zásobníku investic hrazené z úvěru přijatého od EIB (kapitola 12)</t>
  </si>
  <si>
    <t>Ostatní činnosti jinde nezařazené - Sociální fond</t>
  </si>
  <si>
    <t>Splátky návratných finančních výpomocí OSVČ v souvislostí s pandemií COVID-19 (třída 2)</t>
  </si>
  <si>
    <t>Rozvoj edukačních programů pro příspěvkové organizace</t>
  </si>
  <si>
    <t>Rozpočet 2022</t>
  </si>
  <si>
    <t>Kapitola 26 - Veřejná mobilita</t>
  </si>
  <si>
    <t>Kapitola 27 - Digitalizace</t>
  </si>
  <si>
    <t>26 - Veřejná mobilita</t>
  </si>
  <si>
    <t>27 - Digitalizace</t>
  </si>
  <si>
    <t>Středočeský Fond na podporu výsadby stromů</t>
  </si>
  <si>
    <t>Ostatní činnosti ve zdravotnictví</t>
  </si>
  <si>
    <t>05</t>
  </si>
  <si>
    <t>Středočeský Fond na podporu obecního bydlení</t>
  </si>
  <si>
    <t>Středočeský Fond na podporu participativních rozpočtu obcí a měst</t>
  </si>
  <si>
    <t>26</t>
  </si>
  <si>
    <t>Středočeský Fond cyklistické infrastruktury</t>
  </si>
  <si>
    <t>Mezinárodní spolupráce ve vzdělávání</t>
  </si>
  <si>
    <t>Zařízení pro další vzdělávání pedagogických pracovníků</t>
  </si>
  <si>
    <t>Prevence před drogami, alkoholem, nikotinem a jinými závislostmi</t>
  </si>
  <si>
    <t>Sportovní soutěže</t>
  </si>
  <si>
    <t>Základní školy</t>
  </si>
  <si>
    <t>Ostatní sportovní činnost</t>
  </si>
  <si>
    <t>Olympiáda dětí a mládeže</t>
  </si>
  <si>
    <t>Chráněné bydlení</t>
  </si>
  <si>
    <t>Účelové neinvestiční dotace nestátním neziskovým organizacím</t>
  </si>
  <si>
    <t>Vratky sociálních dávek</t>
  </si>
  <si>
    <t>Středočeský Fond homogenizace krajské dopravní infrastruktury</t>
  </si>
  <si>
    <t xml:space="preserve">Ostatní záležitosti sociálních věcí a politiky zaměstnanosti </t>
  </si>
  <si>
    <t>Strategie rozvoje kraje</t>
  </si>
  <si>
    <t xml:space="preserve">Dopravní obslužnost veřejnými službami - linková </t>
  </si>
  <si>
    <t>Dopravní obslužnost veřejnými službami - drážní</t>
  </si>
  <si>
    <t>limit úvěru EIB</t>
  </si>
  <si>
    <t>Společně ostatní kapitoly bez stanoveného limitu na přípravu</t>
  </si>
  <si>
    <t>Kapitoly celkem</t>
  </si>
  <si>
    <t>úvěru EIB</t>
  </si>
  <si>
    <t>Ostatní záležitosti pozemních komunikací -  Cyklodoprava</t>
  </si>
  <si>
    <t>Středočeský Fond hejtmanky</t>
  </si>
  <si>
    <t>Středočeský Humanitární fond - oblast zdravotnická</t>
  </si>
  <si>
    <t>Kapitálové (investiční) výdaje zařazené v Zásobníku investic hrazené z vlastních zdrojů kraje (kapitola 12 - Investiční výdaje)</t>
  </si>
  <si>
    <t>Kapitálové (investiční) výdaje zařazené v Zásobníku investic hrazené z úvěru přijatého od EIB (kapitola 12 - Investiční výdaje)</t>
  </si>
  <si>
    <t>Změna technologií vytápění - rezerva, odvody a penále</t>
  </si>
  <si>
    <t>prodloužení životnosti kobercových úprav po záruce (nátěry, mikrokoberce apod.)</t>
  </si>
  <si>
    <t>Čerpání bankovního úvěru - Komerční banka, a.s. (z roku 2021)</t>
  </si>
  <si>
    <t>Čerpání bankovního úvěru  - Česká spořitelna a.s. (z roku 2021)</t>
  </si>
  <si>
    <t>Splátky přijatého úvěru - Komerční banka, a.s. (z roku 2020) - jistina</t>
  </si>
  <si>
    <t>Splátky přijatého úvěru - České spořitelna, a.s. (z roku 2019) - jistina</t>
  </si>
  <si>
    <t>Labská stezka</t>
  </si>
  <si>
    <t>Aktualizace Programu cestovního ruchu 2024+</t>
  </si>
  <si>
    <t>Program pro poskytování dotací na podporu rozvoje destinačních managementů Středočeského kraje</t>
  </si>
  <si>
    <t>Středočeský Fond podpory cestovního ruchu</t>
  </si>
  <si>
    <t>Archeologické výzkumy a nálezy</t>
  </si>
  <si>
    <r>
      <rPr>
        <b/>
        <sz val="11"/>
        <rFont val="Calibri"/>
        <family val="2"/>
        <charset val="238"/>
        <scheme val="minor"/>
      </rPr>
      <t xml:space="preserve">Oblastní nemocnice Příbram, a.s. </t>
    </r>
    <r>
      <rPr>
        <sz val="11"/>
        <rFont val="Calibri"/>
        <family val="2"/>
        <charset val="238"/>
        <scheme val="minor"/>
      </rPr>
      <t>(výstavba dvou nových budov - objektů C s příjmovým oddělením, oddělením akutní medicíny, oddělením sterilizace a operačním traktem a F s ústavní lékárnou, transfúzní stanicí a onkologickým stacionářem a jejich vybavení nemocničním zařízením v prostorách nemocnice)</t>
    </r>
  </si>
  <si>
    <t>Fakultativní výdaje</t>
  </si>
  <si>
    <t xml:space="preserve"> Semifakultativní výdaje</t>
  </si>
  <si>
    <t>Záležitosti vodních toků a vodohospodářských děl jinde nezařazené</t>
  </si>
  <si>
    <t>519 výdaje související s neinvestičními nákupy, příspěvky, náhrady a věcné dary</t>
  </si>
  <si>
    <t>Splátky přijatého úvěru - Komerční banka, a.s. (z roku 2007) - jistina</t>
  </si>
  <si>
    <r>
      <t xml:space="preserve">Ostatní nemocnice - </t>
    </r>
    <r>
      <rPr>
        <b/>
        <sz val="12"/>
        <rFont val="Calibri"/>
        <family val="2"/>
        <charset val="238"/>
      </rPr>
      <t>dotace</t>
    </r>
    <r>
      <rPr>
        <b/>
        <sz val="12"/>
        <color indexed="10"/>
        <rFont val="Calibri"/>
        <family val="2"/>
        <charset val="238"/>
      </rPr>
      <t xml:space="preserve"> </t>
    </r>
    <r>
      <rPr>
        <b/>
        <sz val="12"/>
        <rFont val="Calibri"/>
        <family val="2"/>
        <charset val="238"/>
      </rPr>
      <t>na provoz ambulance praktického lékaře pro děti a dorost na Mělnicku</t>
    </r>
  </si>
  <si>
    <t>Regionální funkce statutárních divadel na území SK (Městské divadlo Mladá Boleslav, Divadlo A. Dvořáka v Příbrami, Městské divadlo Kladno, Loutkové divadlo Lampion)</t>
  </si>
  <si>
    <t>Kofinancování projektů spolufinancovaných z národních zdrojů a ostatní související výdaje s projekty z národních zdrojů (kapitola 23)</t>
  </si>
  <si>
    <t>Kofinancování projektů spolufinancovaných z EU/EHP a ostatní související výdaje s projekty EU/EHP (kapitola 23) – programové období 2014 - 2020</t>
  </si>
  <si>
    <t>Kofinancování projektů spolufinancovaných z EU/EHP a ostatní související výdaje s projekty EU/EHP (kapitola 23) – programové období 2021 - 2027</t>
  </si>
  <si>
    <t>Bilance předfinancování projektů spolufinancovaných z EU/EHP a národních zdrojů</t>
  </si>
  <si>
    <t>Výdaje:</t>
  </si>
  <si>
    <t>Bilance kofinancování projektů spolufinancovaných z EU/EHP a národních zdrojů</t>
  </si>
  <si>
    <t xml:space="preserve">Kofinancování projektů spolufinancovaných z EU/EHP a ostatní související výdaje s projekty EU/EHP (kapitola 23) - hrazené z úvěru přijatého od EIB </t>
  </si>
  <si>
    <t>Čerpání přijatého úvěru od České spořitelny, a.s. v roce 2021 (předfinancování projektů spolufinancovaných z EU/EHP a národních zdrojů)</t>
  </si>
  <si>
    <t>Čerpání přijatého úvěru od Komerční banky, a.s. v roce 2021 (kofinancování projektů spolufinancovaných z EU/EHP a národních zdrojů)</t>
  </si>
  <si>
    <t>Splátky přijatého úvěru od České spořitelny a.s. v roce 2019 (předfinancování projektů spolufinancovaných z EU/EHP)</t>
  </si>
  <si>
    <t>Splátky přijatého úvěru od České spořitelny a.s. v roce 2019 (předfinancování projektů spolufinancovaných z EU/EHP) - jistina</t>
  </si>
  <si>
    <t>Splátky přijatého úvěru od Komerční banky a.s. v roce 2007 (financování investičních akcí)</t>
  </si>
  <si>
    <t>Splátky přijatého úvěru od Komerční banky a.s. v roce 2020 (financování návratných finančních výpomocí - živnostníci)</t>
  </si>
  <si>
    <t>Dopravní obslužnost veřejnými službami - linková</t>
  </si>
  <si>
    <t>Činnosti knihovnické</t>
  </si>
  <si>
    <t>Poplatky za odebrané množství podzemní vody (třída 1)</t>
  </si>
  <si>
    <t>Čerpání přijatého úvěru  - Evropská investiční banka (z roku 2020 a 2021)</t>
  </si>
  <si>
    <t>Splátky úroků z přijatých úvěrů kraje (kapitola 23)</t>
  </si>
  <si>
    <t>Dluhová služba za úvěr nemocnic (kapitola 07)</t>
  </si>
  <si>
    <t>Kulturní politika Středočeského kraje</t>
  </si>
  <si>
    <t>Činnosti muzeí a galerií</t>
  </si>
  <si>
    <t>Inovační projekty v oblasti digitalizace</t>
  </si>
  <si>
    <t>Kapitálové výdaje zařazené v kapitolách</t>
  </si>
  <si>
    <t>Přijaté sankční platby (třída 2)</t>
  </si>
  <si>
    <t>Ostatní záležitosti kultury</t>
  </si>
  <si>
    <t>Kapitálové výdaje v kapitolách celkem</t>
  </si>
  <si>
    <t>5599</t>
  </si>
  <si>
    <t>Zůstatek prostředků z minulého roku z poplatků za odběr podzemních vod - účelové prostředky Havarijního fondu pro ochranu jakosti vod SK</t>
  </si>
  <si>
    <t>3522</t>
  </si>
  <si>
    <t xml:space="preserve">Výdaje na semináře a prezentace činností v oblasti regionálního rozvoje </t>
  </si>
  <si>
    <t>Informativní součet - celkem limit pro čerpání  z kap. 23/projekty EU</t>
  </si>
  <si>
    <t>čerpání kapitoly z kap. 23/projekty EU (realizace) - finanční prostředky KÚ  (kromě akcí financovaných z EIB)</t>
  </si>
  <si>
    <t xml:space="preserve"> čerpání kapitoly pro přípravu projektů 2021 - 2027 z kap. 23/projekty EU - finanční prostředky KÚ</t>
  </si>
  <si>
    <t>Informativní součet - celkem čerpání  z kap. 23/projekty EU</t>
  </si>
  <si>
    <t>x</t>
  </si>
  <si>
    <t xml:space="preserve">ROZPOČET STŘEDOČESKÉHO KRAJE </t>
  </si>
  <si>
    <t>Dar pro Hasičský záchranný sbor Středočeského kraje</t>
  </si>
  <si>
    <t>Kapitálové (investiční)  výdaje  zařazené v Zásobníku investic hrazené z vlastních zdrojů kraje (kapitola 12)</t>
  </si>
  <si>
    <r>
      <t xml:space="preserve">Smlouva o úvěru uzavřená s Komerční bankou, a.s. dne 12. 9. 2007 </t>
    </r>
    <r>
      <rPr>
        <sz val="11"/>
        <rFont val="Calibri"/>
        <family val="2"/>
        <charset val="238"/>
        <scheme val="minor"/>
      </rPr>
      <t>(financování investic v oblasti dopravy, zdravotnictví, životního prostředí, sociálních věcí, projektů spolufinancovaných strukturálními fondy EU, ..)</t>
    </r>
  </si>
  <si>
    <t xml:space="preserve">*) změna stavu finančních prostředků na účtech představuje ve schváleném a upraveném rozpočtu zapojení prostředků (zůstatku) z minulých let. Ve skutečnosti představuje financování změnu stavu na bankovních účtech. Příjmy - výdaje = přebytek(+) / schodek(-) = financování -/+. Tzn. rozpočet přebytkový tj. kladný rozdíl mezi příjmy a výdaji, financování je rovno minus (stav ke konci vykazovaného období je vyšší než stav k 1.1.), rozpočet schodkový, tj. záporný rozdíl příjmů a výdajů, financování je plusové (stav vykazovaného období je nižší než stav k 1.1.). </t>
  </si>
  <si>
    <t>Rozpočtová kapitola</t>
  </si>
  <si>
    <t>2310</t>
  </si>
  <si>
    <t>Středočeský Infrastrukturní fond - oblast regionálního školství</t>
  </si>
  <si>
    <t>Středočeský Infrastrukturní fond - oblast životní prostředí</t>
  </si>
  <si>
    <t>Implementace elektronické řídicí kontroly na příspěvkové organizace</t>
  </si>
  <si>
    <t>odstraňování škod po zimě</t>
  </si>
  <si>
    <t>Přehled běžných výdajů jednotlivých kapitol - obligatorní, semifakultativní a fakultativní výdaje</t>
  </si>
  <si>
    <t xml:space="preserve">Příspěvek zřízeným příspěvkovým organizacím celkem </t>
  </si>
  <si>
    <t>Dopravní obslužnost - příspěvek příspěvkové organizaci Integrovaná doprava Středočeského kraje</t>
  </si>
  <si>
    <r>
      <t xml:space="preserve">Smlouva o úvěru uzavřená s Komerční bankou, a.s. ze dne 10. 11. 2021 </t>
    </r>
    <r>
      <rPr>
        <sz val="11"/>
        <rFont val="Calibri"/>
        <family val="2"/>
        <charset val="238"/>
        <scheme val="minor"/>
      </rPr>
      <t>(kofinancování projektů spolufinancovaných z prostředků EU/EHP a národních zdrojů)</t>
    </r>
  </si>
  <si>
    <r>
      <t>Smlouva o úvěru uzavřená s  Českou spořitelnou, a.s. ze dne 8. 11. 2021</t>
    </r>
    <r>
      <rPr>
        <sz val="11"/>
        <rFont val="Calibri"/>
        <family val="2"/>
        <charset val="238"/>
        <scheme val="minor"/>
      </rPr>
      <t xml:space="preserve"> (předfinancování projektů spolufinancovaných z  prostředků EU/EHP a národních zdrojů)</t>
    </r>
  </si>
  <si>
    <r>
      <t xml:space="preserve">Smlouva o financování uzavřená s Evropskou investiční bankou dne 30. 9. 2020 a 1. 7. 2021 </t>
    </r>
    <r>
      <rPr>
        <sz val="11"/>
        <rFont val="Calibri"/>
        <family val="2"/>
        <charset val="238"/>
        <scheme val="minor"/>
      </rPr>
      <t>(financování projektů v oblasti zdravotnictví, sociální péče, silniční dopravy, školství a v oblasti energetických úspor)</t>
    </r>
  </si>
  <si>
    <t>Rozpočet 2023</t>
  </si>
  <si>
    <t>Příspěvek na provoz (UZ 533)</t>
  </si>
  <si>
    <t>Příspěvek na běžné opravy a udržování (UZ 511)</t>
  </si>
  <si>
    <t>Ostatní zdroje</t>
  </si>
  <si>
    <t>Předfinancování projektů spolufinancovaných z EU/EHP (kapitola 23) - programové období 2014 - 2020</t>
  </si>
  <si>
    <t>Předfinancování projektů spolufinancovaných z EU/EHP (kapitola 23) – programové období 2021 - 2027</t>
  </si>
  <si>
    <t>Předfinancování a kofinancování projektů EU/EHP a ostatní související výdaje s projekty EU/EHP hrazené z vlastních zdrojů kraje</t>
  </si>
  <si>
    <t>Kofinancování projektů EU a ostatní související výdaje s projekty EU/EHP hrazené z úvěru přijatého od EIB</t>
  </si>
  <si>
    <t>Rezerva Středočeského kraje (kapitola 23)</t>
  </si>
  <si>
    <t>Příspěvek na výdaje na platy (UZ 555)</t>
  </si>
  <si>
    <t>výdaje na platy</t>
  </si>
  <si>
    <t>příspěvek na výdaje na platy</t>
  </si>
  <si>
    <t>z toho neuznatelné náklady (UZ 711)</t>
  </si>
  <si>
    <t>z toho kofinancování uznatelných nákladů (UZ  811)</t>
  </si>
  <si>
    <t>Ostatní záležitosti v dopravě - technická studie VHD</t>
  </si>
  <si>
    <t>Neinvestiční transfery od obcí - linková doprava (třída 4)</t>
  </si>
  <si>
    <t>Neinvestiční transfery od obcí - drážní doprava (třída 4)</t>
  </si>
  <si>
    <t>Odvádění a čištění odpadních vod a nakládání s kaly</t>
  </si>
  <si>
    <t>Ostatní záležitosti sociálních věcí a politiky zaměstnanosti - Senior a rodinné pasy</t>
  </si>
  <si>
    <t xml:space="preserve">Podpora vybraných oborů středních škol </t>
  </si>
  <si>
    <t>Individuální dotace nadace NROS</t>
  </si>
  <si>
    <t>Juniorní centrum kybernetické bezpečnosti</t>
  </si>
  <si>
    <t>Jazykové kurzy ČJ pro migranty z Ukrajiny</t>
  </si>
  <si>
    <t>Pořízení, zachování a obnova hodnot místního kulturního, národního a historického povědomí</t>
  </si>
  <si>
    <t>Ostatní nemocnice</t>
  </si>
  <si>
    <t>z toho: výdaje na platy</t>
  </si>
  <si>
    <t>Členské příspěvky</t>
  </si>
  <si>
    <t>Podpora cestovního ruchu v geoparcích</t>
  </si>
  <si>
    <t>Soundtrack Poděbrady</t>
  </si>
  <si>
    <t>Podpora kinematografie a filmové tvorby</t>
  </si>
  <si>
    <t>Kulturní a kreativní odvětví</t>
  </si>
  <si>
    <t>Podpora poutního turismu</t>
  </si>
  <si>
    <t>Výdaje na platy hrazené z rozpočtu kraje</t>
  </si>
  <si>
    <t>Středočeský kraj - efektivní region (provozní výdaje)</t>
  </si>
  <si>
    <t>Rybářství a myslivost</t>
  </si>
  <si>
    <t>Aktualizace systému podání žádostí IV. výzvy kotlíkových dotací</t>
  </si>
  <si>
    <t>Předfinancování a podíl EU projektů spolufinancovaných z EU/EHP  – programové období 2014 - 2020</t>
  </si>
  <si>
    <t>Předfinancování a podíl EU projektů spolufinancovaných z EU/EHP  – programové období 2021 - 2027</t>
  </si>
  <si>
    <t xml:space="preserve">Předfinancování a podíl SR projektů spolufinancovaných z národních zdrojů </t>
  </si>
  <si>
    <t>Kofinancování projektů spolufinancovaných z EU/EHP a ostatní související výdaje s projekty EU/EHP – programové období 2014 - 2020</t>
  </si>
  <si>
    <t>Kofinancování projektů spolufinancovaných z EU/EHP a ostatní související výdaje s projekty EU/EHP – programové období 2021 - 2027</t>
  </si>
  <si>
    <t xml:space="preserve">Kofinancování projektů spolufinancovaných z EU/EHP a ostatní související výdaje s projekty EU/EHP - hrazené z úvěru přijatého od EIB </t>
  </si>
  <si>
    <t>Kofinancování projektů spolufinancovaných z národních zdrojů a ostatní související výdaje s projekty z národních zdrojů</t>
  </si>
  <si>
    <t>Zdroje:</t>
  </si>
  <si>
    <t>Festival základních uměleckých škol</t>
  </si>
  <si>
    <t>Cestovní ruch - příspěvek příspěvkovým organizacím</t>
  </si>
  <si>
    <t>Humanitární zahraniční pomoc přímá - příspěvek příspěvkové organizaci Integrovaná doprava Středočeského kraje</t>
  </si>
  <si>
    <t>Vrácení platby obci Ondřejov</t>
  </si>
  <si>
    <t>Humanitární pomoc Ukrajině KACPU GASK, p.o.</t>
  </si>
  <si>
    <t>Pískovcová skalní města</t>
  </si>
  <si>
    <t>Akce k projektu Ochutnej Evropu</t>
  </si>
  <si>
    <t>Podpora cestovního ruchu</t>
  </si>
  <si>
    <t>Operace řízení likvidity</t>
  </si>
  <si>
    <t>podpora marketingu cestovního ruchu</t>
  </si>
  <si>
    <t>zajištění objížděk</t>
  </si>
  <si>
    <t>Volby do zastupitelstev územních samosprávných celků</t>
  </si>
  <si>
    <t>označníky (běžná údržba)</t>
  </si>
  <si>
    <t>Sociální péče a pomoc přistěhovalcům a vybraným etnikům</t>
  </si>
  <si>
    <t>označníky (obnova)</t>
  </si>
  <si>
    <t>Financování činnosti editorů DTM v přenesené působnosti</t>
  </si>
  <si>
    <t>Podpora podnikání, investiční příležitosti, brownfieldy</t>
  </si>
  <si>
    <t>Zajištění provozu a podpory aplikace eDotace</t>
  </si>
  <si>
    <t>z toho: výdaje na energie</t>
  </si>
  <si>
    <t>příspěvek na výdaje na energie</t>
  </si>
  <si>
    <t>Příspěvek na výdaje na energie</t>
  </si>
  <si>
    <t>výdaje na energie</t>
  </si>
  <si>
    <t>Příspěvek na výdaje na energie (UZ 544)</t>
  </si>
  <si>
    <t>Příspěvek na výdaje na energie zřízeným příspěvkovým organizacím celkem</t>
  </si>
  <si>
    <t>Příspěvek na platy zřízeným příspěvkovým organizacím celkem</t>
  </si>
  <si>
    <t>Podpora cestovního ruchu, regionálních / lokálních akcí</t>
  </si>
  <si>
    <t>Rozvojové projekty příspěvkových organizací</t>
  </si>
  <si>
    <t>Činnosti památkových ústavů, hradů a zámků</t>
  </si>
  <si>
    <t>Hudební činnost</t>
  </si>
  <si>
    <t>Dvořákovo Příbramsko</t>
  </si>
  <si>
    <t>Středočeská skutečná liga</t>
  </si>
  <si>
    <t>Spolufinancování „Konkrétních opatření ke zmírnění negativních dopadů sucha a nedostatku vody ve Středočeském kraji“</t>
  </si>
  <si>
    <t>Příspěvek na provoz škol zřizovaných Středočeským krajem</t>
  </si>
  <si>
    <t>Kapitálové výdaje - jednotlivé kapitoly (bez prostředků na krytí Zásobníku investic)</t>
  </si>
  <si>
    <t>Předfinancování projektů spolufinancovaných z národních zdrojů (kapitola 23)</t>
  </si>
  <si>
    <t>Kapitola 16 - Správní agendy</t>
  </si>
  <si>
    <t xml:space="preserve">Prostředky na úhradu možného navýšení mezd - řidičů veřejné dopravy </t>
  </si>
  <si>
    <t>dopravní obslužnost veřejnými službami - linková, hrazená z prostředků kraje</t>
  </si>
  <si>
    <t>dopravní obslužnost veřejnými službami - linková, hrazená z prostředků obcí</t>
  </si>
  <si>
    <t>dopravní obslužnost veřejnými službami - drážní,  hrazená z prostředků kraje</t>
  </si>
  <si>
    <t>dopravní obslužnost veřejnými službami - drážní,  hrazená z prostředků obcí</t>
  </si>
  <si>
    <t>Náhrady nákladů ze státního rozpočtu (kapitola 07 a kapitola 10)</t>
  </si>
  <si>
    <t>Ostatní záležitosti sociálních věcí a politiky zaměstnanosti - Virtuální prohlídky</t>
  </si>
  <si>
    <t>Středočeský Humanitární fond - oblast sociální</t>
  </si>
  <si>
    <t>Rámcový přehled předfinancování projektů spolufinancovaných z EU/EHP a národních zdrojů</t>
  </si>
  <si>
    <t>Rámcový přehled kofinancování projektů spolufinancovaných z EU/EHP a národních zdrojů</t>
  </si>
  <si>
    <t>Čerpání přijatého úvěru od Evropské investiční banky v roce 2020 a 2021 (financování investičních akcí a kofinancování projektů EU)</t>
  </si>
  <si>
    <t>Příspěvky zřízeným příspěvkovým organizacím celkem  (UZ 511, 533, 544, 555)</t>
  </si>
  <si>
    <r>
      <t xml:space="preserve">Smlouva o úvěru uzavřená s Komerční bankou, a.s. dne 25. 6. 2020 </t>
    </r>
    <r>
      <rPr>
        <sz val="11"/>
        <rFont val="Calibri"/>
        <family val="2"/>
        <charset val="238"/>
        <scheme val="minor"/>
      </rPr>
      <t>(poskytnutí návratných finančních výpomocí OSVČ ze Středočeského kraje, které byly nepříznivě ekonomicky zasažení epidemií COVID-19)</t>
    </r>
  </si>
  <si>
    <t>NA ROK 2024</t>
  </si>
  <si>
    <t>Rozpočet 2024</t>
  </si>
  <si>
    <t>% 2024/2023 schv. rozp.</t>
  </si>
  <si>
    <t>Rozpočet Středočeského kraje na rok 2024</t>
  </si>
  <si>
    <t xml:space="preserve">minimální vratka </t>
  </si>
  <si>
    <t>Maximální částka v roce 2024</t>
  </si>
  <si>
    <t>% 2024/2023 upr. rozp.</t>
  </si>
  <si>
    <t>Humanitární pomoc Ukrajině</t>
  </si>
  <si>
    <t>Raná péče a sociálně aktivizační služby pro rodiny s dětmi Proxima</t>
  </si>
  <si>
    <t xml:space="preserve">Osobní asistence, pečovatelská služba a podpora samostatného bydlení </t>
  </si>
  <si>
    <t>Ostatní záležitosti bezpečnosti, veřejného pořádku</t>
  </si>
  <si>
    <t>přeprava osob se zdravotním postižením</t>
  </si>
  <si>
    <t>Limit pro čerpání kapitoly z kap. 23/projekty EU (realizace) - finanční prostředky KÚ  (kromě akcí financovaných z EIB)</t>
  </si>
  <si>
    <t>neuznatelné náklady (UZ 777)</t>
  </si>
  <si>
    <t>kofinancování uznatelných nákladů (UZ  888)</t>
  </si>
  <si>
    <t xml:space="preserve">Limit pro minimální vratku </t>
  </si>
  <si>
    <t>Limit pro čerpání kapitoly pro přípravu projektů 2021 - 2027 z kap. 23/projekty EU - finanční prostředky KÚ</t>
  </si>
  <si>
    <t xml:space="preserve">502 výdaje na ostatní platby za provedenou práci </t>
  </si>
  <si>
    <t>503 povinné a zákonné pojistné placené zaměstnavatelem</t>
  </si>
  <si>
    <t>504 výdaje na odměny za užití duševního vlastnictví</t>
  </si>
  <si>
    <t>513 výdaje na nákup materiálu</t>
  </si>
  <si>
    <t>516 výdaje na nákup služeb</t>
  </si>
  <si>
    <t>517 výdaje na ostatní nákupy</t>
  </si>
  <si>
    <t>542 náhrady placené fyzickým osobám</t>
  </si>
  <si>
    <t>581 výdaje na náhrady za nezpůsobenou újmu a výdaje na náhrady škod způsobených rozhodnutím nebo nesprávným úředním postupem při výkonu veřejné moci</t>
  </si>
  <si>
    <t>Divadelní činnost</t>
  </si>
  <si>
    <t xml:space="preserve">Zdravotnická záchranná služba </t>
  </si>
  <si>
    <t>504 odměny za užití duševního vlastnictví</t>
  </si>
  <si>
    <t>513 nákup materiálu</t>
  </si>
  <si>
    <t>515 nákup vody, paliv a energie</t>
  </si>
  <si>
    <t>516 nákup služeb</t>
  </si>
  <si>
    <t>517 ostatní nákupy</t>
  </si>
  <si>
    <t>Hospice</t>
  </si>
  <si>
    <t>Deinstitucionalizace a transformace dětských domovů</t>
  </si>
  <si>
    <t>536 ostatní nein. transfery jiným rozpočtům, platby daní</t>
  </si>
  <si>
    <t>512 výdaje na některé úpravy hmotných věcí a pořízení některých práv k hmotným věcem</t>
  </si>
  <si>
    <t>Partnerství pro městskou mobilitu</t>
  </si>
  <si>
    <t>příspěvek na energie</t>
  </si>
  <si>
    <t>expertní skupina pro výběrové řízení</t>
  </si>
  <si>
    <t>dopravní obslužnost veřejnými službami - linková, hrazená z prostředků ostatních krajů</t>
  </si>
  <si>
    <t>Dopravní obslužnost veřejnými službami - drážní, hrazena z prostředků ostatních krajů</t>
  </si>
  <si>
    <t>Členský příspěvek spolku BISON</t>
  </si>
  <si>
    <t>ČD - čisté vlaky</t>
  </si>
  <si>
    <t>ČD - vlaky RS1, Pesa</t>
  </si>
  <si>
    <t>BUS - rezerva posílení dopravy (např. školní spoje)</t>
  </si>
  <si>
    <t>Neinvestiční transfery od krajů - linková doprava (třída 4)</t>
  </si>
  <si>
    <t>Neinvestiční transfery od krajů - drážní doprava (třída 4)</t>
  </si>
  <si>
    <t>Dotace ze státního rozpočtu - drážní doprava (třída 4)</t>
  </si>
  <si>
    <t>Dotace ze státního rozpočtu - drážní doprava (kapitola 26)</t>
  </si>
  <si>
    <t>Zajištění konektivity datových center SCK, IPR a Prahy pro IS DTM</t>
  </si>
  <si>
    <t>Podpora předškolního vzdělávání</t>
  </si>
  <si>
    <t>Odborné sociální poradentství</t>
  </si>
  <si>
    <t>Sociální rehabilitace</t>
  </si>
  <si>
    <t>Osobní asist., peč.služba a podpora samost.bydlení</t>
  </si>
  <si>
    <t>Tísňová péče</t>
  </si>
  <si>
    <t>Týdenní stacionáře</t>
  </si>
  <si>
    <t>Domovy pro osoby se zdr. post. a domovy se zvl.rež</t>
  </si>
  <si>
    <t>Ostatní služby a činnosti v oblasti sociální péče</t>
  </si>
  <si>
    <t>Raná péče a soc.aktivizační sl.pro rodiny s dětmi</t>
  </si>
  <si>
    <t>Azyl.domy, nízkoprahová denní centra a noclehárny</t>
  </si>
  <si>
    <t>Nízkoprahová zařízení pro děti a mládež</t>
  </si>
  <si>
    <t>Sl.násl.péče,terapeutické komunity a kontak.centra</t>
  </si>
  <si>
    <t>Sociálně terapeutické dílny</t>
  </si>
  <si>
    <t>Terénní programy</t>
  </si>
  <si>
    <t>Ostatní služby a činnosti v oblasti soc. prevence</t>
  </si>
  <si>
    <t>neuznatelné náklady (UZ 755)</t>
  </si>
  <si>
    <t>kofinancování uznatelných nákladů (UZ  855)</t>
  </si>
  <si>
    <t>Úspora energií a obnovitelné zdroje</t>
  </si>
  <si>
    <t xml:space="preserve">Ostatní záležitosti vzdělávání </t>
  </si>
  <si>
    <t>Obsahová analýza a design vzory pro weby Krajského úřadu Středočeského kraje</t>
  </si>
  <si>
    <t>Zajištění podpory IS DTM a hardwarového řešení DTM</t>
  </si>
  <si>
    <t>Individuální dotace na podporu DSO Ladův kraj</t>
  </si>
  <si>
    <t>Program 2022 pro poskytování návratné finanční výpomoci z rozpočtu Středočeského kraje - sociální oblast</t>
  </si>
  <si>
    <t>Post Bellum, z.ú.</t>
  </si>
  <si>
    <t>Podpora audiovizuální tvorby ve Středočeském kraji</t>
  </si>
  <si>
    <t>Humanitární pomoc Ukrajině - Červený kříž, dětské tábory</t>
  </si>
  <si>
    <t>EPC - rezerva</t>
  </si>
  <si>
    <t>Program ,,Obchůdek 2021+"</t>
  </si>
  <si>
    <t xml:space="preserve">Výsadba stromů v obcích </t>
  </si>
  <si>
    <t>Podpora živnostníků ve Středočeském kraji</t>
  </si>
  <si>
    <t>Cestovní ruch</t>
  </si>
  <si>
    <t>Splátky přijatého úvěru - EIB (z roku 2020 a 2021) - jistina</t>
  </si>
  <si>
    <t>Modernizace nemocnic založených Středočeským krajem</t>
  </si>
  <si>
    <t>Program na podporu rozvoje meziobecní spolupráce v oblasti strategického rozvoje dobrovolných svazků obcí Středočeského kraje</t>
  </si>
  <si>
    <t>Program na podporu vzdělávacích programů v oblasti podnikání v hospodářsky a sociálně ohrožených obcích s rozšířenou působností a obcích s pověřeným obecním úřadem ve Středočeském kraji</t>
  </si>
  <si>
    <t xml:space="preserve">Program 2024 - ZDRAVOTNICTVÍ pro poskytování investičních dotací z rozpočtu Středočeského kraje poskytovatelům akutní lůžkové péče na území Středočeského kraje </t>
  </si>
  <si>
    <t xml:space="preserve">Zůstatek prostředků z minulého roku ze splátek návratných finančních výpomocí OSVČ v souvislostí s pandemií COVID-19 </t>
  </si>
  <si>
    <t>Rozpočet Středočeského kraje na rok 2024 - běžné výdaje kapitol</t>
  </si>
  <si>
    <t>2294</t>
  </si>
  <si>
    <t>2292</t>
  </si>
  <si>
    <t>Splátky přijatého úvěru od Evropské investiční banky v roce 2020 a 2021 (financování investičních akcí a kofinancování projektů EU)</t>
  </si>
  <si>
    <t xml:space="preserve">ČD - rezerva nová vozidla, výkony </t>
  </si>
  <si>
    <t>Naplňování koncepce prorodinné politiky</t>
  </si>
  <si>
    <t>Školení, vzdělávání a ocenění za mimořádný přínos pro oblast tradiční lidové kultury</t>
  </si>
  <si>
    <t>Regionální funkce knihoven Středočeského kraje</t>
  </si>
  <si>
    <t xml:space="preserve">Činnost regionální správy </t>
  </si>
  <si>
    <t xml:space="preserve">předfinancování uznatelných nákladů </t>
  </si>
  <si>
    <t>Přijaté dotace EU/EHP (třída 4)</t>
  </si>
  <si>
    <t>Přijaté dotace NZ (třída 4)</t>
  </si>
  <si>
    <t>Dotace z předfinancování projektů spolufinancovaných z EU/EHP (třída 4, do roku 2023 třída 2 - vratky)</t>
  </si>
  <si>
    <t>Dotace z předfinancování projektů spolufinancovaných z národních zdrojů (třída 4, do roku 2023 třída 2 - vratky)</t>
  </si>
  <si>
    <t>Dotace ze státního rozpočtu - sociální služby (třída 4)</t>
  </si>
  <si>
    <t>Dotace ze státního rozpočtu - sociální služby (kapitola 17)</t>
  </si>
  <si>
    <t>Upravený rozpočet k 30.9.</t>
  </si>
  <si>
    <t>Skutečnost k 30.9.</t>
  </si>
  <si>
    <t>Operační program Vzdělávání pro konkurenceschopnost - vrácení dotace příjemci Senbio s.r.o. - dle rozhodnutí ministerstva financí</t>
  </si>
  <si>
    <t>Regionální funkce knihoven Středočeského kraje - Bookstart: S knížkou do života</t>
  </si>
  <si>
    <t xml:space="preserve">Rozvoj ICT nástrojů pro řízení a podporu příspěvkových organizací </t>
  </si>
  <si>
    <t>Portál příspěvkových organizací</t>
  </si>
  <si>
    <t>Rozvoj sítí elektronických komunikací - Bílá místa</t>
  </si>
  <si>
    <t>Limity čerpání včetně  kofinancování, vratek a přípravy projektů Středočeského kraje na rok 2024 - projekty spolufinancované z EU/EHP - programové období 2014 - 2020 - ukončení programového období prosinec 2023</t>
  </si>
  <si>
    <t>Limity čerpání včetně  kofinancování, vratek a přípravy projektů Středočeského kraje na rok 2024 - projekty spolufinancované z EU/EHP - programové období 2021 - 2027</t>
  </si>
  <si>
    <t>Předpoklad čerpání včetně  kofinancování, vratek a přípravy projektů Středočeského kraje na rok 2024 - projekty spolufinancované z národních zdrojů</t>
  </si>
  <si>
    <t xml:space="preserve">Přehled výdajů jednotlivých kapitol - běžné výdaje, výdaje na energie, výdaje na platy, výdaje na opravy a údržbu majetku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</si>
</sst>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č_-;\-* #,##0.00\ _K_č_-;_-* &quot;-&quot;??\ _K_č_-;_-@_-"/>
    <numFmt numFmtId="165" formatCode="#,##0.0"/>
    <numFmt numFmtId="166" formatCode="0.0"/>
    <numFmt numFmtId="167" formatCode="&quot;Kč&quot;#,##0.00"/>
    <numFmt numFmtId="168" formatCode="#,##0.000000"/>
    <numFmt numFmtId="169" formatCode="#,##0.000"/>
  </numFmts>
  <fonts count="51"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0"/>
      <name val="Arial"/>
      <family val="2"/>
      <charset val="204"/>
    </font>
    <font>
      <sz val="10"/>
      <name val="Arial CE"/>
      <charset val="238"/>
    </font>
    <font>
      <sz val="10"/>
      <name val="Calibri"/>
      <family val="2"/>
      <charset val="238"/>
      <scheme val="minor"/>
    </font>
    <font>
      <b/>
      <sz val="10"/>
      <name val="Calibri"/>
      <family val="2"/>
      <charset val="238"/>
      <scheme val="minor"/>
    </font>
    <font>
      <sz val="11"/>
      <name val="Calibri"/>
      <family val="2"/>
      <charset val="238"/>
      <scheme val="minor"/>
    </font>
    <font>
      <b/>
      <sz val="14"/>
      <name val="Calibri"/>
      <family val="2"/>
      <charset val="238"/>
      <scheme val="minor"/>
    </font>
    <font>
      <sz val="12"/>
      <name val="Calibri"/>
      <family val="2"/>
      <charset val="238"/>
      <scheme val="minor"/>
    </font>
    <font>
      <b/>
      <sz val="12"/>
      <name val="Calibri"/>
      <family val="2"/>
      <charset val="238"/>
      <scheme val="minor"/>
    </font>
    <font>
      <b/>
      <sz val="11"/>
      <name val="Calibri"/>
      <family val="2"/>
      <charset val="238"/>
      <scheme val="minor"/>
    </font>
    <font>
      <sz val="9"/>
      <name val="Calibri"/>
      <family val="2"/>
      <charset val="238"/>
      <scheme val="minor"/>
    </font>
    <font>
      <sz val="8"/>
      <name val="Calibri"/>
      <family val="2"/>
      <charset val="238"/>
      <scheme val="minor"/>
    </font>
    <font>
      <b/>
      <sz val="18"/>
      <name val="Calibri"/>
      <family val="2"/>
      <charset val="238"/>
      <scheme val="minor"/>
    </font>
    <font>
      <sz val="14"/>
      <name val="Calibri"/>
      <family val="2"/>
      <charset val="238"/>
      <scheme val="minor"/>
    </font>
    <font>
      <sz val="20"/>
      <name val="Calibri"/>
      <family val="2"/>
      <charset val="238"/>
      <scheme val="minor"/>
    </font>
    <font>
      <i/>
      <sz val="10"/>
      <name val="Calibri"/>
      <family val="2"/>
      <charset val="238"/>
      <scheme val="minor"/>
    </font>
    <font>
      <b/>
      <i/>
      <sz val="10"/>
      <name val="Calibri"/>
      <family val="2"/>
      <charset val="238"/>
      <scheme val="minor"/>
    </font>
    <font>
      <sz val="7"/>
      <name val="Calibri"/>
      <family val="2"/>
      <charset val="238"/>
      <scheme val="minor"/>
    </font>
    <font>
      <b/>
      <sz val="10"/>
      <color rgb="FFFF0000"/>
      <name val="Calibri"/>
      <family val="2"/>
      <charset val="238"/>
      <scheme val="minor"/>
    </font>
    <font>
      <b/>
      <i/>
      <sz val="11"/>
      <name val="Calibri"/>
      <family val="2"/>
      <charset val="238"/>
      <scheme val="minor"/>
    </font>
    <font>
      <i/>
      <sz val="10"/>
      <color rgb="FFFF0000"/>
      <name val="Calibri"/>
      <family val="2"/>
      <charset val="238"/>
      <scheme val="minor"/>
    </font>
    <font>
      <b/>
      <sz val="14"/>
      <color theme="1"/>
      <name val="Calibri"/>
      <family val="2"/>
      <charset val="238"/>
      <scheme val="minor"/>
    </font>
    <font>
      <i/>
      <sz val="11"/>
      <name val="Calibri"/>
      <family val="2"/>
      <charset val="238"/>
      <scheme val="minor"/>
    </font>
    <font>
      <sz val="11"/>
      <color rgb="FFFF0000"/>
      <name val="Calibri"/>
      <family val="2"/>
      <charset val="238"/>
      <scheme val="minor"/>
    </font>
    <font>
      <sz val="18"/>
      <name val="Calibri"/>
      <family val="2"/>
      <charset val="238"/>
      <scheme val="minor"/>
    </font>
    <font>
      <sz val="22"/>
      <name val="Calibri"/>
      <family val="2"/>
      <charset val="238"/>
      <scheme val="minor"/>
    </font>
    <font>
      <b/>
      <sz val="24"/>
      <name val="Calibri"/>
      <family val="2"/>
      <charset val="238"/>
      <scheme val="minor"/>
    </font>
    <font>
      <b/>
      <sz val="11"/>
      <color rgb="FF7030A0"/>
      <name val="Calibri"/>
      <family val="2"/>
      <charset val="238"/>
      <scheme val="minor"/>
    </font>
    <font>
      <sz val="10"/>
      <color rgb="FFC00000"/>
      <name val="Calibri"/>
      <family val="2"/>
      <charset val="238"/>
      <scheme val="minor"/>
    </font>
    <font>
      <sz val="10"/>
      <color rgb="FF7030A0"/>
      <name val="Calibri"/>
      <family val="2"/>
      <charset val="238"/>
      <scheme val="minor"/>
    </font>
    <font>
      <b/>
      <sz val="12"/>
      <name val="Calibri"/>
      <family val="2"/>
      <charset val="238"/>
    </font>
    <font>
      <b/>
      <sz val="12"/>
      <color indexed="10"/>
      <name val="Calibri"/>
      <family val="2"/>
      <charset val="238"/>
    </font>
    <font>
      <sz val="11"/>
      <color rgb="FF00B050"/>
      <name val="Calibri"/>
      <family val="2"/>
      <charset val="238"/>
      <scheme val="minor"/>
    </font>
    <font>
      <b/>
      <sz val="11"/>
      <color rgb="FF00B050"/>
      <name val="Calibri"/>
      <family val="2"/>
      <charset val="238"/>
      <scheme val="minor"/>
    </font>
    <font>
      <sz val="11"/>
      <color rgb="FF00B0F0"/>
      <name val="Calibri"/>
      <family val="2"/>
      <charset val="238"/>
      <scheme val="minor"/>
    </font>
    <font>
      <b/>
      <sz val="11"/>
      <color rgb="FF00B0F0"/>
      <name val="Calibri"/>
      <family val="2"/>
      <charset val="238"/>
      <scheme val="minor"/>
    </font>
    <font>
      <sz val="11"/>
      <color rgb="FF008A3E"/>
      <name val="Calibri"/>
      <family val="2"/>
      <charset val="238"/>
      <scheme val="minor"/>
    </font>
    <font>
      <sz val="11"/>
      <color rgb="FF0085B4"/>
      <name val="Calibri"/>
      <family val="2"/>
      <charset val="238"/>
      <scheme val="minor"/>
    </font>
    <font>
      <sz val="10"/>
      <color rgb="FF00C400"/>
      <name val="Calibri"/>
      <family val="2"/>
      <charset val="238"/>
      <scheme val="minor"/>
    </font>
    <font>
      <sz val="11"/>
      <name val="Calibri"/>
      <family val="2"/>
      <charset val="238"/>
    </font>
    <font>
      <b/>
      <i/>
      <sz val="12"/>
      <name val="Calibri"/>
      <family val="2"/>
      <charset val="238"/>
      <scheme val="minor"/>
    </font>
    <font>
      <b/>
      <sz val="11"/>
      <color rgb="FFCC6600"/>
      <name val="Calibri"/>
      <family val="2"/>
      <charset val="238"/>
      <scheme val="minor"/>
    </font>
    <font>
      <sz val="11"/>
      <color rgb="FFCC6600"/>
      <name val="Calibri"/>
      <family val="2"/>
      <charset val="238"/>
      <scheme val="minor"/>
    </font>
  </fonts>
  <fills count="13">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FF66"/>
        <bgColor indexed="64"/>
      </patternFill>
    </fill>
    <fill>
      <patternFill patternType="solid">
        <fgColor theme="0"/>
        <bgColor indexed="64"/>
      </patternFill>
    </fill>
    <fill>
      <patternFill patternType="solid">
        <fgColor theme="9" tint="0.79998168889431442"/>
        <bgColor indexed="64"/>
      </patternFill>
    </fill>
    <fill>
      <patternFill patternType="solid">
        <fgColor rgb="FFE1FFE1"/>
        <bgColor indexed="64"/>
      </patternFill>
    </fill>
    <fill>
      <patternFill patternType="solid">
        <fgColor rgb="FFCCECFF"/>
        <bgColor indexed="64"/>
      </patternFill>
    </fill>
    <fill>
      <patternFill patternType="solid">
        <fgColor rgb="FFFFCC00"/>
        <bgColor indexed="64"/>
      </patternFill>
    </fill>
    <fill>
      <patternFill patternType="solid">
        <fgColor rgb="FFFF603B"/>
        <bgColor indexed="64"/>
      </patternFill>
    </fill>
    <fill>
      <patternFill patternType="solid">
        <fgColor rgb="FF92D050"/>
        <bgColor indexed="64"/>
      </patternFill>
    </fill>
    <fill>
      <patternFill patternType="solid">
        <fgColor rgb="FFFCFBC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s>
  <cellStyleXfs count="22">
    <xf numFmtId="0" fontId="0" fillId="0" borderId="0"/>
    <xf numFmtId="0" fontId="7" fillId="0" borderId="0"/>
    <xf numFmtId="0" fontId="7" fillId="0" borderId="0"/>
    <xf numFmtId="0" fontId="6" fillId="0" borderId="0"/>
    <xf numFmtId="0" fontId="5" fillId="0" borderId="0"/>
    <xf numFmtId="0" fontId="9" fillId="0" borderId="0"/>
    <xf numFmtId="0" fontId="4"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7" fillId="0" borderId="0"/>
    <xf numFmtId="0" fontId="7" fillId="0" borderId="0"/>
    <xf numFmtId="0" fontId="2" fillId="0" borderId="0"/>
    <xf numFmtId="0" fontId="1" fillId="0" borderId="0"/>
    <xf numFmtId="0" fontId="7" fillId="0" borderId="0"/>
    <xf numFmtId="0" fontId="7" fillId="0" borderId="0"/>
    <xf numFmtId="0" fontId="7" fillId="0" borderId="0"/>
    <xf numFmtId="0" fontId="7" fillId="0" borderId="0"/>
  </cellStyleXfs>
  <cellXfs count="1453">
    <xf numFmtId="0" fontId="0" fillId="0" borderId="0" xfId="0"/>
    <xf numFmtId="0" fontId="11" fillId="0" borderId="0" xfId="14" applyFont="1"/>
    <xf numFmtId="3" fontId="11" fillId="0" borderId="0" xfId="14" applyNumberFormat="1" applyFont="1"/>
    <xf numFmtId="4" fontId="11" fillId="0" borderId="0" xfId="14" applyNumberFormat="1" applyFont="1"/>
    <xf numFmtId="3" fontId="12" fillId="0" borderId="0" xfId="14" applyNumberFormat="1" applyFont="1"/>
    <xf numFmtId="166" fontId="11" fillId="0" borderId="0" xfId="14" applyNumberFormat="1" applyFont="1" applyAlignment="1">
      <alignment horizontal="right"/>
    </xf>
    <xf numFmtId="166" fontId="13" fillId="0" borderId="0" xfId="14" applyNumberFormat="1" applyFont="1" applyAlignment="1">
      <alignment horizontal="right"/>
    </xf>
    <xf numFmtId="0" fontId="14" fillId="0" borderId="0" xfId="14" applyFont="1"/>
    <xf numFmtId="166" fontId="13" fillId="0" borderId="0" xfId="15" applyNumberFormat="1" applyFont="1" applyAlignment="1">
      <alignment horizontal="right"/>
    </xf>
    <xf numFmtId="0" fontId="15" fillId="0" borderId="0" xfId="14" applyFont="1"/>
    <xf numFmtId="0" fontId="16" fillId="0" borderId="0" xfId="15" applyFont="1"/>
    <xf numFmtId="3" fontId="16" fillId="0" borderId="0" xfId="15" applyNumberFormat="1" applyFont="1"/>
    <xf numFmtId="4" fontId="16" fillId="0" borderId="0" xfId="15" applyNumberFormat="1" applyFont="1"/>
    <xf numFmtId="4" fontId="15" fillId="0" borderId="0" xfId="14" applyNumberFormat="1" applyFont="1"/>
    <xf numFmtId="3" fontId="15" fillId="0" borderId="0" xfId="14" applyNumberFormat="1" applyFont="1"/>
    <xf numFmtId="3" fontId="16" fillId="0" borderId="0" xfId="14" applyNumberFormat="1" applyFont="1"/>
    <xf numFmtId="166" fontId="15" fillId="0" borderId="0" xfId="14" applyNumberFormat="1" applyFont="1" applyAlignment="1">
      <alignment horizontal="right"/>
    </xf>
    <xf numFmtId="0" fontId="11" fillId="0" borderId="0" xfId="14" applyFont="1" applyAlignment="1">
      <alignment horizontal="left" wrapText="1"/>
    </xf>
    <xf numFmtId="0" fontId="16" fillId="0" borderId="0" xfId="14" applyFont="1" applyAlignment="1">
      <alignment horizontal="left" wrapText="1"/>
    </xf>
    <xf numFmtId="0" fontId="16" fillId="0" borderId="0" xfId="14" applyFont="1"/>
    <xf numFmtId="0" fontId="17" fillId="0" borderId="0" xfId="14" applyFont="1"/>
    <xf numFmtId="3" fontId="17" fillId="0" borderId="0" xfId="14" applyNumberFormat="1" applyFont="1"/>
    <xf numFmtId="4" fontId="17" fillId="0" borderId="0" xfId="14" applyNumberFormat="1" applyFont="1"/>
    <xf numFmtId="4" fontId="17" fillId="0" borderId="0" xfId="14" applyNumberFormat="1" applyFont="1" applyAlignment="1">
      <alignment horizontal="right"/>
    </xf>
    <xf numFmtId="166" fontId="17" fillId="0" borderId="0" xfId="15" applyNumberFormat="1" applyFont="1" applyAlignment="1">
      <alignment horizontal="right"/>
    </xf>
    <xf numFmtId="166" fontId="12" fillId="0" borderId="0" xfId="14" applyNumberFormat="1" applyFont="1" applyAlignment="1">
      <alignment horizontal="right" wrapText="1"/>
    </xf>
    <xf numFmtId="0" fontId="19" fillId="0" borderId="0" xfId="14" applyFont="1" applyAlignment="1">
      <alignment vertical="center"/>
    </xf>
    <xf numFmtId="0" fontId="20" fillId="0" borderId="0" xfId="1" applyFont="1"/>
    <xf numFmtId="4" fontId="12" fillId="0" borderId="0" xfId="0" applyNumberFormat="1" applyFont="1"/>
    <xf numFmtId="0" fontId="11" fillId="0" borderId="0" xfId="0" applyFont="1"/>
    <xf numFmtId="0" fontId="20" fillId="0" borderId="0" xfId="1" applyFont="1" applyAlignment="1">
      <alignment horizontal="left"/>
    </xf>
    <xf numFmtId="4" fontId="11" fillId="0" borderId="0" xfId="0" applyNumberFormat="1" applyFont="1"/>
    <xf numFmtId="165" fontId="13" fillId="0" borderId="0" xfId="0" applyNumberFormat="1" applyFont="1" applyAlignment="1">
      <alignment horizontal="right"/>
    </xf>
    <xf numFmtId="4" fontId="17" fillId="0" borderId="0" xfId="0" applyNumberFormat="1" applyFont="1" applyAlignment="1">
      <alignment vertical="center"/>
    </xf>
    <xf numFmtId="0" fontId="17" fillId="0" borderId="0" xfId="0" applyFont="1" applyAlignment="1">
      <alignment vertical="center"/>
    </xf>
    <xf numFmtId="0" fontId="16" fillId="0" borderId="0" xfId="0" applyFont="1"/>
    <xf numFmtId="0" fontId="16" fillId="0" borderId="56" xfId="0" applyFont="1" applyBorder="1" applyAlignment="1">
      <alignment wrapText="1"/>
    </xf>
    <xf numFmtId="165" fontId="11" fillId="0" borderId="0" xfId="0" applyNumberFormat="1" applyFont="1"/>
    <xf numFmtId="3" fontId="12" fillId="0" borderId="0" xfId="0" applyNumberFormat="1" applyFont="1"/>
    <xf numFmtId="0" fontId="14" fillId="0" borderId="0" xfId="0" applyFont="1"/>
    <xf numFmtId="3" fontId="11" fillId="0" borderId="0" xfId="0" applyNumberFormat="1" applyFont="1"/>
    <xf numFmtId="3" fontId="16" fillId="0" borderId="5" xfId="0" applyNumberFormat="1" applyFont="1" applyBorder="1"/>
    <xf numFmtId="4" fontId="16" fillId="0" borderId="16" xfId="0" applyNumberFormat="1" applyFont="1" applyBorder="1"/>
    <xf numFmtId="4" fontId="16" fillId="0" borderId="6" xfId="0" applyNumberFormat="1" applyFont="1" applyBorder="1"/>
    <xf numFmtId="14" fontId="11" fillId="0" borderId="0" xfId="0" applyNumberFormat="1" applyFont="1"/>
    <xf numFmtId="3" fontId="13" fillId="0" borderId="0" xfId="0" applyNumberFormat="1" applyFont="1" applyAlignment="1">
      <alignment horizontal="right"/>
    </xf>
    <xf numFmtId="4" fontId="16" fillId="0" borderId="0" xfId="0" applyNumberFormat="1" applyFont="1"/>
    <xf numFmtId="0" fontId="11" fillId="0" borderId="0" xfId="0" applyFont="1" applyAlignment="1">
      <alignment horizontal="center"/>
    </xf>
    <xf numFmtId="0" fontId="23" fillId="0" borderId="0" xfId="0" applyFont="1"/>
    <xf numFmtId="3" fontId="11" fillId="0" borderId="0" xfId="0" applyNumberFormat="1" applyFont="1" applyAlignment="1">
      <alignment horizontal="center"/>
    </xf>
    <xf numFmtId="0" fontId="11" fillId="0" borderId="0" xfId="0" applyFont="1" applyAlignment="1">
      <alignment horizontal="left"/>
    </xf>
    <xf numFmtId="14" fontId="11" fillId="0" borderId="0" xfId="0" applyNumberFormat="1" applyFont="1" applyAlignment="1">
      <alignment horizontal="center"/>
    </xf>
    <xf numFmtId="0" fontId="16" fillId="0" borderId="10" xfId="0" applyFont="1" applyBorder="1" applyAlignment="1">
      <alignment wrapText="1"/>
    </xf>
    <xf numFmtId="3" fontId="16" fillId="0" borderId="48" xfId="0" applyNumberFormat="1" applyFont="1" applyBorder="1"/>
    <xf numFmtId="165" fontId="16" fillId="0" borderId="10" xfId="0" applyNumberFormat="1" applyFont="1" applyBorder="1"/>
    <xf numFmtId="165" fontId="16" fillId="0" borderId="0" xfId="0" applyNumberFormat="1" applyFont="1"/>
    <xf numFmtId="165" fontId="15" fillId="0" borderId="0" xfId="0" applyNumberFormat="1" applyFont="1" applyAlignment="1">
      <alignment horizontal="right"/>
    </xf>
    <xf numFmtId="0" fontId="11" fillId="0" borderId="0" xfId="1" applyFont="1" applyAlignment="1">
      <alignment vertical="center"/>
    </xf>
    <xf numFmtId="3" fontId="20" fillId="0" borderId="0" xfId="1" applyNumberFormat="1" applyFont="1"/>
    <xf numFmtId="4" fontId="20" fillId="0" borderId="0" xfId="1" applyNumberFormat="1" applyFont="1"/>
    <xf numFmtId="3" fontId="14" fillId="0" borderId="0" xfId="0" applyNumberFormat="1" applyFont="1"/>
    <xf numFmtId="4" fontId="14" fillId="0" borderId="0" xfId="0" applyNumberFormat="1" applyFont="1"/>
    <xf numFmtId="0" fontId="25" fillId="0" borderId="0" xfId="14" applyFont="1"/>
    <xf numFmtId="0" fontId="23" fillId="0" borderId="0" xfId="14" applyFont="1"/>
    <xf numFmtId="166" fontId="23" fillId="0" borderId="41" xfId="14" applyNumberFormat="1" applyFont="1" applyBorder="1" applyAlignment="1">
      <alignment horizontal="right" wrapText="1"/>
    </xf>
    <xf numFmtId="0" fontId="13" fillId="0" borderId="0" xfId="14" applyFont="1"/>
    <xf numFmtId="0" fontId="11" fillId="0" borderId="0" xfId="14" applyFont="1" applyAlignment="1">
      <alignment horizontal="left"/>
    </xf>
    <xf numFmtId="0" fontId="11" fillId="0" borderId="0" xfId="14" applyFont="1" applyAlignment="1">
      <alignment vertical="center"/>
    </xf>
    <xf numFmtId="0" fontId="14" fillId="0" borderId="0" xfId="14" applyFont="1" applyAlignment="1">
      <alignment vertical="center"/>
    </xf>
    <xf numFmtId="0" fontId="15" fillId="0" borderId="0" xfId="14" applyFont="1" applyAlignment="1">
      <alignment vertical="center"/>
    </xf>
    <xf numFmtId="0" fontId="17" fillId="0" borderId="0" xfId="14" applyFont="1" applyAlignment="1">
      <alignment vertical="center"/>
    </xf>
    <xf numFmtId="0" fontId="11" fillId="0" borderId="0" xfId="0" applyFont="1" applyAlignment="1">
      <alignment vertical="center"/>
    </xf>
    <xf numFmtId="3" fontId="11" fillId="0" borderId="0" xfId="14" applyNumberFormat="1" applyFont="1" applyAlignment="1">
      <alignment vertical="center"/>
    </xf>
    <xf numFmtId="166" fontId="11" fillId="0" borderId="41" xfId="14" applyNumberFormat="1" applyFont="1" applyBorder="1" applyAlignment="1">
      <alignment horizontal="right" vertical="center" wrapText="1"/>
    </xf>
    <xf numFmtId="3" fontId="23" fillId="0" borderId="3" xfId="14" applyNumberFormat="1" applyFont="1" applyBorder="1" applyAlignment="1">
      <alignment vertical="center"/>
    </xf>
    <xf numFmtId="4" fontId="23" fillId="0" borderId="26" xfId="14" applyNumberFormat="1" applyFont="1" applyBorder="1" applyAlignment="1">
      <alignment vertical="center"/>
    </xf>
    <xf numFmtId="4" fontId="23" fillId="0" borderId="9" xfId="14" applyNumberFormat="1" applyFont="1" applyBorder="1" applyAlignment="1">
      <alignment horizontal="right" vertical="center"/>
    </xf>
    <xf numFmtId="4" fontId="23" fillId="0" borderId="43" xfId="14" applyNumberFormat="1" applyFont="1" applyBorder="1" applyAlignment="1">
      <alignment horizontal="right" vertical="center"/>
    </xf>
    <xf numFmtId="166" fontId="23" fillId="0" borderId="2" xfId="15" applyNumberFormat="1" applyFont="1" applyBorder="1" applyAlignment="1">
      <alignment horizontal="right" vertical="center"/>
    </xf>
    <xf numFmtId="166" fontId="23" fillId="0" borderId="41" xfId="14" applyNumberFormat="1" applyFont="1" applyBorder="1" applyAlignment="1">
      <alignment horizontal="right" vertical="center" wrapText="1"/>
    </xf>
    <xf numFmtId="3" fontId="23" fillId="0" borderId="2" xfId="14" applyNumberFormat="1" applyFont="1" applyBorder="1" applyAlignment="1">
      <alignment vertical="center"/>
    </xf>
    <xf numFmtId="4" fontId="23" fillId="0" borderId="8" xfId="14" applyNumberFormat="1" applyFont="1" applyBorder="1" applyAlignment="1">
      <alignment horizontal="right" vertical="center"/>
    </xf>
    <xf numFmtId="4" fontId="23" fillId="0" borderId="22" xfId="14" applyNumberFormat="1" applyFont="1" applyBorder="1" applyAlignment="1">
      <alignment horizontal="right" vertical="center"/>
    </xf>
    <xf numFmtId="3" fontId="23" fillId="0" borderId="2" xfId="14" applyNumberFormat="1" applyFont="1" applyBorder="1" applyAlignment="1">
      <alignment horizontal="right" vertical="center"/>
    </xf>
    <xf numFmtId="4" fontId="23" fillId="0" borderId="26" xfId="14" applyNumberFormat="1" applyFont="1" applyBorder="1" applyAlignment="1">
      <alignment horizontal="right" vertical="center"/>
    </xf>
    <xf numFmtId="3" fontId="11" fillId="0" borderId="0" xfId="14" applyNumberFormat="1" applyFont="1" applyAlignment="1">
      <alignment horizontal="left" vertical="center"/>
    </xf>
    <xf numFmtId="0" fontId="11" fillId="0" borderId="0" xfId="14" applyFont="1" applyAlignment="1">
      <alignment horizontal="left" vertical="center"/>
    </xf>
    <xf numFmtId="0" fontId="23" fillId="0" borderId="0" xfId="14" applyFont="1" applyAlignment="1">
      <alignment horizontal="left" vertical="center"/>
    </xf>
    <xf numFmtId="0" fontId="23" fillId="0" borderId="0" xfId="14" applyFont="1" applyAlignment="1">
      <alignment vertical="center"/>
    </xf>
    <xf numFmtId="4" fontId="23" fillId="0" borderId="42" xfId="14" applyNumberFormat="1" applyFont="1" applyBorder="1" applyAlignment="1">
      <alignment vertical="center"/>
    </xf>
    <xf numFmtId="0" fontId="16" fillId="0" borderId="0" xfId="14" applyFont="1" applyAlignment="1">
      <alignment vertical="center"/>
    </xf>
    <xf numFmtId="3" fontId="23" fillId="0" borderId="51" xfId="14" applyNumberFormat="1" applyFont="1" applyBorder="1" applyAlignment="1">
      <alignment vertical="center"/>
    </xf>
    <xf numFmtId="166" fontId="23" fillId="0" borderId="50" xfId="15" applyNumberFormat="1" applyFont="1" applyBorder="1" applyAlignment="1">
      <alignment horizontal="right" vertical="center"/>
    </xf>
    <xf numFmtId="4" fontId="23" fillId="0" borderId="22" xfId="14" applyNumberFormat="1" applyFont="1" applyBorder="1" applyAlignment="1">
      <alignment vertical="center"/>
    </xf>
    <xf numFmtId="3" fontId="23" fillId="0" borderId="50" xfId="14" applyNumberFormat="1" applyFont="1" applyBorder="1" applyAlignment="1">
      <alignment vertical="center"/>
    </xf>
    <xf numFmtId="4" fontId="23" fillId="0" borderId="70" xfId="14" applyNumberFormat="1" applyFont="1" applyBorder="1" applyAlignment="1">
      <alignment horizontal="right" vertical="center"/>
    </xf>
    <xf numFmtId="3" fontId="23" fillId="0" borderId="0" xfId="14" applyNumberFormat="1" applyFont="1"/>
    <xf numFmtId="0" fontId="28" fillId="0" borderId="0" xfId="14" applyFont="1"/>
    <xf numFmtId="4" fontId="23" fillId="0" borderId="41" xfId="14" applyNumberFormat="1" applyFont="1" applyBorder="1" applyAlignment="1">
      <alignment vertical="center"/>
    </xf>
    <xf numFmtId="4" fontId="23" fillId="0" borderId="43" xfId="14" applyNumberFormat="1" applyFont="1" applyBorder="1" applyAlignment="1">
      <alignment vertical="center"/>
    </xf>
    <xf numFmtId="0" fontId="29" fillId="0" borderId="0" xfId="14" applyFont="1"/>
    <xf numFmtId="0" fontId="16" fillId="0" borderId="0" xfId="0" applyFont="1" applyAlignment="1">
      <alignment vertical="center"/>
    </xf>
    <xf numFmtId="0" fontId="13" fillId="0" borderId="0" xfId="14" applyFont="1" applyAlignment="1">
      <alignment vertical="center"/>
    </xf>
    <xf numFmtId="4" fontId="17" fillId="3" borderId="12" xfId="0" applyNumberFormat="1" applyFont="1" applyFill="1" applyBorder="1" applyAlignment="1">
      <alignment vertical="center"/>
    </xf>
    <xf numFmtId="4" fontId="17" fillId="3" borderId="11" xfId="0" applyNumberFormat="1" applyFont="1" applyFill="1" applyBorder="1" applyAlignment="1">
      <alignment vertical="center"/>
    </xf>
    <xf numFmtId="4" fontId="13" fillId="0" borderId="41" xfId="0" applyNumberFormat="1" applyFont="1" applyBorder="1"/>
    <xf numFmtId="0" fontId="13" fillId="0" borderId="47" xfId="0" applyFont="1" applyBorder="1"/>
    <xf numFmtId="0" fontId="13" fillId="0" borderId="58" xfId="0" applyFont="1" applyBorder="1" applyAlignment="1">
      <alignment vertical="center"/>
    </xf>
    <xf numFmtId="0" fontId="13" fillId="0" borderId="12" xfId="0" applyFont="1" applyBorder="1" applyAlignment="1">
      <alignment wrapText="1"/>
    </xf>
    <xf numFmtId="167" fontId="13" fillId="0" borderId="18" xfId="0" applyNumberFormat="1" applyFont="1" applyBorder="1" applyAlignment="1">
      <alignment wrapText="1"/>
    </xf>
    <xf numFmtId="165" fontId="13" fillId="0" borderId="18" xfId="0" applyNumberFormat="1" applyFont="1" applyBorder="1"/>
    <xf numFmtId="3" fontId="13" fillId="0" borderId="50" xfId="0" applyNumberFormat="1" applyFont="1" applyBorder="1"/>
    <xf numFmtId="3" fontId="13" fillId="0" borderId="8" xfId="0" applyNumberFormat="1" applyFont="1" applyBorder="1"/>
    <xf numFmtId="0" fontId="13" fillId="0" borderId="12" xfId="0" applyFont="1" applyBorder="1"/>
    <xf numFmtId="3" fontId="13" fillId="0" borderId="53" xfId="0" applyNumberFormat="1" applyFont="1" applyBorder="1" applyAlignment="1">
      <alignment horizontal="left" wrapText="1"/>
    </xf>
    <xf numFmtId="3" fontId="13" fillId="0" borderId="32" xfId="0" applyNumberFormat="1" applyFont="1" applyBorder="1"/>
    <xf numFmtId="4" fontId="13" fillId="0" borderId="52" xfId="0" applyNumberFormat="1" applyFont="1" applyBorder="1"/>
    <xf numFmtId="3" fontId="13" fillId="0" borderId="67" xfId="0" applyNumberFormat="1" applyFont="1" applyBorder="1"/>
    <xf numFmtId="4" fontId="13" fillId="0" borderId="35" xfId="0" applyNumberFormat="1" applyFont="1" applyBorder="1"/>
    <xf numFmtId="4" fontId="13" fillId="0" borderId="8" xfId="14" applyNumberFormat="1" applyFont="1" applyBorder="1" applyAlignment="1">
      <alignment horizontal="right" vertical="center"/>
    </xf>
    <xf numFmtId="4" fontId="13" fillId="0" borderId="22" xfId="14" applyNumberFormat="1" applyFont="1" applyBorder="1" applyAlignment="1">
      <alignment horizontal="right" vertical="center"/>
    </xf>
    <xf numFmtId="4" fontId="13" fillId="0" borderId="41" xfId="14" applyNumberFormat="1" applyFont="1" applyBorder="1" applyAlignment="1">
      <alignment vertical="center"/>
    </xf>
    <xf numFmtId="0" fontId="13" fillId="0" borderId="0" xfId="14" applyFont="1" applyAlignment="1">
      <alignment horizontal="left"/>
    </xf>
    <xf numFmtId="3" fontId="17" fillId="0" borderId="0" xfId="14" applyNumberFormat="1" applyFont="1" applyAlignment="1">
      <alignment horizontal="right" vertical="center"/>
    </xf>
    <xf numFmtId="166" fontId="12" fillId="0" borderId="0" xfId="14" applyNumberFormat="1" applyFont="1" applyAlignment="1">
      <alignment horizontal="right" vertical="center" wrapText="1"/>
    </xf>
    <xf numFmtId="4" fontId="23" fillId="0" borderId="17" xfId="14" applyNumberFormat="1" applyFont="1" applyBorder="1" applyAlignment="1">
      <alignment vertical="center"/>
    </xf>
    <xf numFmtId="4" fontId="23" fillId="0" borderId="17" xfId="14" applyNumberFormat="1" applyFont="1" applyBorder="1" applyAlignment="1">
      <alignment horizontal="right" vertical="center"/>
    </xf>
    <xf numFmtId="166" fontId="13" fillId="0" borderId="0" xfId="20" applyNumberFormat="1" applyFont="1" applyAlignment="1">
      <alignment horizontal="right"/>
    </xf>
    <xf numFmtId="0" fontId="16" fillId="0" borderId="0" xfId="20" applyFont="1"/>
    <xf numFmtId="3" fontId="16" fillId="0" borderId="0" xfId="20" applyNumberFormat="1" applyFont="1"/>
    <xf numFmtId="4" fontId="16" fillId="0" borderId="0" xfId="20" applyNumberFormat="1" applyFont="1"/>
    <xf numFmtId="166" fontId="23" fillId="0" borderId="50" xfId="20" applyNumberFormat="1" applyFont="1" applyBorder="1" applyAlignment="1">
      <alignment horizontal="right" vertical="center"/>
    </xf>
    <xf numFmtId="4" fontId="23" fillId="0" borderId="71" xfId="14" applyNumberFormat="1" applyFont="1" applyBorder="1" applyAlignment="1">
      <alignment horizontal="right" vertical="center"/>
    </xf>
    <xf numFmtId="166" fontId="11" fillId="0" borderId="2" xfId="15" applyNumberFormat="1" applyFont="1" applyBorder="1" applyAlignment="1">
      <alignment horizontal="right" vertical="center"/>
    </xf>
    <xf numFmtId="167" fontId="13" fillId="0" borderId="54" xfId="0" applyNumberFormat="1" applyFont="1" applyBorder="1" applyAlignment="1">
      <alignment wrapText="1"/>
    </xf>
    <xf numFmtId="0" fontId="13" fillId="0" borderId="47" xfId="0" applyFont="1" applyBorder="1" applyAlignment="1">
      <alignment wrapText="1"/>
    </xf>
    <xf numFmtId="3" fontId="13" fillId="0" borderId="2" xfId="0" applyNumberFormat="1" applyFont="1" applyBorder="1"/>
    <xf numFmtId="3" fontId="13" fillId="0" borderId="41" xfId="0" applyNumberFormat="1" applyFont="1" applyBorder="1"/>
    <xf numFmtId="3" fontId="13" fillId="0" borderId="2" xfId="0" applyNumberFormat="1" applyFont="1" applyBorder="1" applyAlignment="1">
      <alignment wrapText="1"/>
    </xf>
    <xf numFmtId="4" fontId="13" fillId="0" borderId="8" xfId="0" applyNumberFormat="1" applyFont="1" applyBorder="1" applyAlignment="1">
      <alignment wrapText="1"/>
    </xf>
    <xf numFmtId="3" fontId="30" fillId="0" borderId="2" xfId="0" applyNumberFormat="1" applyFont="1" applyBorder="1"/>
    <xf numFmtId="4" fontId="30" fillId="0" borderId="8" xfId="0" applyNumberFormat="1" applyFont="1" applyBorder="1"/>
    <xf numFmtId="3" fontId="11" fillId="2" borderId="19" xfId="15" applyNumberFormat="1" applyFont="1" applyFill="1" applyBorder="1" applyAlignment="1">
      <alignment horizontal="center" vertical="center" wrapText="1"/>
    </xf>
    <xf numFmtId="4" fontId="11" fillId="2" borderId="20" xfId="15" applyNumberFormat="1" applyFont="1" applyFill="1" applyBorder="1" applyAlignment="1">
      <alignment horizontal="center" vertical="center" wrapText="1"/>
    </xf>
    <xf numFmtId="4" fontId="11" fillId="2" borderId="73" xfId="15" applyNumberFormat="1" applyFont="1" applyFill="1" applyBorder="1" applyAlignment="1">
      <alignment horizontal="center" vertical="center" wrapText="1"/>
    </xf>
    <xf numFmtId="10" fontId="11" fillId="0" borderId="0" xfId="0" applyNumberFormat="1" applyFont="1" applyAlignment="1">
      <alignment vertical="center"/>
    </xf>
    <xf numFmtId="4" fontId="17" fillId="3" borderId="18" xfId="0" applyNumberFormat="1" applyFont="1" applyFill="1" applyBorder="1" applyAlignment="1">
      <alignment vertical="center"/>
    </xf>
    <xf numFmtId="4" fontId="16" fillId="3" borderId="10" xfId="0" applyNumberFormat="1" applyFont="1" applyFill="1" applyBorder="1" applyAlignment="1">
      <alignment vertical="center"/>
    </xf>
    <xf numFmtId="4" fontId="11" fillId="0" borderId="0" xfId="14" applyNumberFormat="1" applyFont="1" applyAlignment="1">
      <alignment vertical="center"/>
    </xf>
    <xf numFmtId="166" fontId="11" fillId="0" borderId="0" xfId="14" applyNumberFormat="1" applyFont="1" applyAlignment="1">
      <alignment horizontal="right" vertical="center"/>
    </xf>
    <xf numFmtId="166" fontId="13" fillId="0" borderId="0" xfId="14" applyNumberFormat="1" applyFont="1" applyAlignment="1">
      <alignment horizontal="right" vertical="center"/>
    </xf>
    <xf numFmtId="166" fontId="13" fillId="0" borderId="0" xfId="20" applyNumberFormat="1" applyFont="1" applyAlignment="1">
      <alignment horizontal="right" vertical="center"/>
    </xf>
    <xf numFmtId="0" fontId="25" fillId="0" borderId="0" xfId="14" applyFont="1" applyAlignment="1">
      <alignment vertical="center"/>
    </xf>
    <xf numFmtId="0" fontId="16" fillId="0" borderId="0" xfId="20" applyFont="1" applyAlignment="1">
      <alignment vertical="center"/>
    </xf>
    <xf numFmtId="3" fontId="16" fillId="0" borderId="0" xfId="20" applyNumberFormat="1" applyFont="1" applyAlignment="1">
      <alignment vertical="center"/>
    </xf>
    <xf numFmtId="4" fontId="16" fillId="0" borderId="0" xfId="20" applyNumberFormat="1" applyFont="1" applyAlignment="1">
      <alignment vertical="center"/>
    </xf>
    <xf numFmtId="4" fontId="15" fillId="0" borderId="0" xfId="14" applyNumberFormat="1" applyFont="1" applyAlignment="1">
      <alignment vertical="center"/>
    </xf>
    <xf numFmtId="3" fontId="15" fillId="0" borderId="0" xfId="14" applyNumberFormat="1" applyFont="1" applyAlignment="1">
      <alignment vertical="center"/>
    </xf>
    <xf numFmtId="166" fontId="15" fillId="0" borderId="0" xfId="14" applyNumberFormat="1" applyFont="1" applyAlignment="1">
      <alignment horizontal="right" vertical="center"/>
    </xf>
    <xf numFmtId="0" fontId="13" fillId="0" borderId="0" xfId="14" applyFont="1" applyAlignment="1">
      <alignment horizontal="left" vertical="center"/>
    </xf>
    <xf numFmtId="0" fontId="30" fillId="0" borderId="0" xfId="14" applyFont="1" applyAlignment="1">
      <alignment vertical="center"/>
    </xf>
    <xf numFmtId="166" fontId="17" fillId="0" borderId="0" xfId="20" applyNumberFormat="1" applyFont="1" applyAlignment="1">
      <alignment horizontal="right" vertical="center"/>
    </xf>
    <xf numFmtId="4" fontId="13" fillId="0" borderId="50" xfId="0" applyNumberFormat="1" applyFont="1" applyBorder="1"/>
    <xf numFmtId="4" fontId="13" fillId="0" borderId="21" xfId="0" applyNumberFormat="1" applyFont="1" applyBorder="1"/>
    <xf numFmtId="4" fontId="13" fillId="0" borderId="22" xfId="0" applyNumberFormat="1" applyFont="1" applyBorder="1"/>
    <xf numFmtId="0" fontId="23" fillId="0" borderId="0" xfId="14" applyFont="1" applyAlignment="1">
      <alignment horizontal="left" vertical="top" wrapText="1"/>
    </xf>
    <xf numFmtId="3" fontId="13" fillId="0" borderId="0" xfId="14" applyNumberFormat="1" applyFont="1" applyAlignment="1">
      <alignment vertical="center"/>
    </xf>
    <xf numFmtId="0" fontId="33" fillId="0" borderId="0" xfId="0" applyFont="1"/>
    <xf numFmtId="0" fontId="14" fillId="0" borderId="0" xfId="0" applyFont="1" applyAlignment="1">
      <alignment horizontal="left"/>
    </xf>
    <xf numFmtId="4" fontId="13" fillId="0" borderId="0" xfId="14" applyNumberFormat="1" applyFont="1"/>
    <xf numFmtId="3" fontId="13" fillId="0" borderId="0" xfId="14" applyNumberFormat="1" applyFont="1"/>
    <xf numFmtId="4" fontId="30" fillId="0" borderId="50" xfId="0" applyNumberFormat="1" applyFont="1" applyBorder="1"/>
    <xf numFmtId="4" fontId="13" fillId="0" borderId="0" xfId="14" applyNumberFormat="1" applyFont="1" applyAlignment="1">
      <alignment horizontal="right"/>
    </xf>
    <xf numFmtId="4" fontId="13" fillId="0" borderId="0" xfId="14" applyNumberFormat="1" applyFont="1" applyAlignment="1">
      <alignment vertical="center"/>
    </xf>
    <xf numFmtId="4" fontId="13" fillId="0" borderId="0" xfId="14" applyNumberFormat="1" applyFont="1" applyAlignment="1">
      <alignment horizontal="right" vertical="center"/>
    </xf>
    <xf numFmtId="165" fontId="13" fillId="0" borderId="25" xfId="0" applyNumberFormat="1" applyFont="1" applyBorder="1" applyAlignment="1">
      <alignment horizontal="right" vertical="center"/>
    </xf>
    <xf numFmtId="0" fontId="11" fillId="0" borderId="0" xfId="0" applyFont="1" applyAlignment="1">
      <alignment vertical="center" wrapText="1"/>
    </xf>
    <xf numFmtId="165" fontId="13" fillId="0" borderId="0" xfId="0" applyNumberFormat="1" applyFont="1" applyAlignment="1">
      <alignment horizontal="right" vertical="center"/>
    </xf>
    <xf numFmtId="4" fontId="17" fillId="3" borderId="61" xfId="0" applyNumberFormat="1" applyFont="1" applyFill="1" applyBorder="1" applyAlignment="1">
      <alignment vertical="center"/>
    </xf>
    <xf numFmtId="3" fontId="13" fillId="6" borderId="31" xfId="15" applyNumberFormat="1" applyFont="1" applyFill="1" applyBorder="1" applyAlignment="1">
      <alignment horizontal="center" vertical="center" wrapText="1"/>
    </xf>
    <xf numFmtId="4" fontId="13" fillId="6" borderId="44" xfId="15" applyNumberFormat="1" applyFont="1" applyFill="1" applyBorder="1" applyAlignment="1">
      <alignment horizontal="center" vertical="center" wrapText="1"/>
    </xf>
    <xf numFmtId="0" fontId="23" fillId="0" borderId="8" xfId="14" applyFont="1" applyBorder="1" applyAlignment="1">
      <alignment vertical="center"/>
    </xf>
    <xf numFmtId="0" fontId="11" fillId="6" borderId="5" xfId="14" applyFont="1" applyFill="1" applyBorder="1" applyAlignment="1">
      <alignment horizontal="center" vertical="center"/>
    </xf>
    <xf numFmtId="3" fontId="16" fillId="6" borderId="5" xfId="14" applyNumberFormat="1" applyFont="1" applyFill="1" applyBorder="1" applyAlignment="1">
      <alignment vertical="center"/>
    </xf>
    <xf numFmtId="4" fontId="16" fillId="6" borderId="48" xfId="14" applyNumberFormat="1" applyFont="1" applyFill="1" applyBorder="1" applyAlignment="1">
      <alignment vertical="center"/>
    </xf>
    <xf numFmtId="4" fontId="16" fillId="6" borderId="6" xfId="14" applyNumberFormat="1" applyFont="1" applyFill="1" applyBorder="1" applyAlignment="1">
      <alignment vertical="center"/>
    </xf>
    <xf numFmtId="166" fontId="16" fillId="6" borderId="5" xfId="15" applyNumberFormat="1" applyFont="1" applyFill="1" applyBorder="1" applyAlignment="1">
      <alignment horizontal="right" vertical="center"/>
    </xf>
    <xf numFmtId="166" fontId="16" fillId="6" borderId="16" xfId="14" applyNumberFormat="1" applyFont="1" applyFill="1" applyBorder="1" applyAlignment="1">
      <alignment horizontal="right" vertical="center" wrapText="1"/>
    </xf>
    <xf numFmtId="0" fontId="16" fillId="6" borderId="5" xfId="14" applyFont="1" applyFill="1" applyBorder="1" applyAlignment="1">
      <alignment vertical="center"/>
    </xf>
    <xf numFmtId="3" fontId="16" fillId="6" borderId="5" xfId="14" applyNumberFormat="1" applyFont="1" applyFill="1" applyBorder="1"/>
    <xf numFmtId="166" fontId="16" fillId="6" borderId="5" xfId="15" applyNumberFormat="1" applyFont="1" applyFill="1" applyBorder="1" applyAlignment="1">
      <alignment horizontal="right"/>
    </xf>
    <xf numFmtId="166" fontId="16" fillId="6" borderId="16" xfId="14" applyNumberFormat="1" applyFont="1" applyFill="1" applyBorder="1" applyAlignment="1">
      <alignment horizontal="right" wrapText="1"/>
    </xf>
    <xf numFmtId="0" fontId="16" fillId="6" borderId="5" xfId="14" applyFont="1" applyFill="1" applyBorder="1"/>
    <xf numFmtId="3" fontId="16" fillId="6" borderId="48" xfId="14" applyNumberFormat="1" applyFont="1" applyFill="1" applyBorder="1" applyAlignment="1">
      <alignment vertical="center"/>
    </xf>
    <xf numFmtId="166" fontId="16" fillId="6" borderId="48" xfId="15" applyNumberFormat="1" applyFont="1" applyFill="1" applyBorder="1" applyAlignment="1">
      <alignment horizontal="right" vertical="center"/>
    </xf>
    <xf numFmtId="4" fontId="16" fillId="6" borderId="16" xfId="14" applyNumberFormat="1" applyFont="1" applyFill="1" applyBorder="1" applyAlignment="1">
      <alignment vertical="center"/>
    </xf>
    <xf numFmtId="4" fontId="16" fillId="6" borderId="24" xfId="14" applyNumberFormat="1" applyFont="1" applyFill="1" applyBorder="1" applyAlignment="1">
      <alignment vertical="center"/>
    </xf>
    <xf numFmtId="166" fontId="16" fillId="6" borderId="24" xfId="14" applyNumberFormat="1" applyFont="1" applyFill="1" applyBorder="1" applyAlignment="1">
      <alignment horizontal="right" vertical="center" wrapText="1"/>
    </xf>
    <xf numFmtId="0" fontId="16" fillId="6" borderId="16" xfId="14" applyFont="1" applyFill="1" applyBorder="1" applyAlignment="1">
      <alignment vertical="center"/>
    </xf>
    <xf numFmtId="4" fontId="16" fillId="6" borderId="6" xfId="14" applyNumberFormat="1" applyFont="1" applyFill="1" applyBorder="1" applyAlignment="1">
      <alignment horizontal="right" vertical="center"/>
    </xf>
    <xf numFmtId="4" fontId="16" fillId="6" borderId="65" xfId="14" applyNumberFormat="1" applyFont="1" applyFill="1" applyBorder="1" applyAlignment="1">
      <alignment horizontal="right" vertical="center"/>
    </xf>
    <xf numFmtId="0" fontId="23" fillId="0" borderId="26" xfId="14" applyFont="1" applyBorder="1" applyAlignment="1">
      <alignment vertical="center" wrapText="1"/>
    </xf>
    <xf numFmtId="166" fontId="16" fillId="6" borderId="48" xfId="20" applyNumberFormat="1" applyFont="1" applyFill="1" applyBorder="1" applyAlignment="1">
      <alignment horizontal="right" vertical="center"/>
    </xf>
    <xf numFmtId="0" fontId="16" fillId="6" borderId="16" xfId="14" applyFont="1" applyFill="1" applyBorder="1"/>
    <xf numFmtId="4" fontId="16" fillId="6" borderId="24" xfId="14" applyNumberFormat="1" applyFont="1" applyFill="1" applyBorder="1"/>
    <xf numFmtId="4" fontId="16" fillId="6" borderId="48" xfId="14" applyNumberFormat="1" applyFont="1" applyFill="1" applyBorder="1"/>
    <xf numFmtId="0" fontId="16" fillId="6" borderId="5" xfId="14" applyFont="1" applyFill="1" applyBorder="1" applyAlignment="1">
      <alignment horizontal="center" vertical="center"/>
    </xf>
    <xf numFmtId="3" fontId="16" fillId="6" borderId="6" xfId="0" applyNumberFormat="1" applyFont="1" applyFill="1" applyBorder="1"/>
    <xf numFmtId="3" fontId="17" fillId="3" borderId="21" xfId="0" applyNumberFormat="1" applyFont="1" applyFill="1" applyBorder="1"/>
    <xf numFmtId="3" fontId="17" fillId="3" borderId="22" xfId="0" applyNumberFormat="1" applyFont="1" applyFill="1" applyBorder="1"/>
    <xf numFmtId="0" fontId="16" fillId="6" borderId="56" xfId="0" applyFont="1" applyFill="1" applyBorder="1" applyAlignment="1">
      <alignment vertical="center" wrapText="1"/>
    </xf>
    <xf numFmtId="4" fontId="16" fillId="6" borderId="5" xfId="0" applyNumberFormat="1" applyFont="1" applyFill="1" applyBorder="1" applyAlignment="1">
      <alignment vertical="center"/>
    </xf>
    <xf numFmtId="4" fontId="16" fillId="6" borderId="16" xfId="0" applyNumberFormat="1" applyFont="1" applyFill="1" applyBorder="1" applyAlignment="1">
      <alignment vertical="center"/>
    </xf>
    <xf numFmtId="4" fontId="16" fillId="6" borderId="6" xfId="0" applyNumberFormat="1" applyFont="1" applyFill="1" applyBorder="1" applyAlignment="1">
      <alignment vertical="center"/>
    </xf>
    <xf numFmtId="165" fontId="13" fillId="6" borderId="10" xfId="0" applyNumberFormat="1" applyFont="1" applyFill="1" applyBorder="1" applyAlignment="1">
      <alignment horizontal="right" vertical="center"/>
    </xf>
    <xf numFmtId="3" fontId="17" fillId="3" borderId="11" xfId="0" applyNumberFormat="1" applyFont="1" applyFill="1" applyBorder="1" applyAlignment="1">
      <alignment vertical="center"/>
    </xf>
    <xf numFmtId="3" fontId="16" fillId="3" borderId="10" xfId="0" applyNumberFormat="1" applyFont="1" applyFill="1" applyBorder="1" applyAlignment="1">
      <alignment vertical="center"/>
    </xf>
    <xf numFmtId="4" fontId="13" fillId="0" borderId="0" xfId="0" applyNumberFormat="1" applyFont="1" applyAlignment="1">
      <alignment vertical="center"/>
    </xf>
    <xf numFmtId="0" fontId="13" fillId="7" borderId="47" xfId="0" applyFont="1" applyFill="1" applyBorder="1" applyAlignment="1">
      <alignment vertical="center" wrapText="1"/>
    </xf>
    <xf numFmtId="4" fontId="13" fillId="7" borderId="2" xfId="0" applyNumberFormat="1" applyFont="1" applyFill="1" applyBorder="1" applyAlignment="1">
      <alignment vertical="center"/>
    </xf>
    <xf numFmtId="4" fontId="13" fillId="7" borderId="41" xfId="0" applyNumberFormat="1" applyFont="1" applyFill="1" applyBorder="1" applyAlignment="1">
      <alignment vertical="center"/>
    </xf>
    <xf numFmtId="4" fontId="13" fillId="7" borderId="8" xfId="0" applyNumberFormat="1" applyFont="1" applyFill="1" applyBorder="1" applyAlignment="1">
      <alignment vertical="center"/>
    </xf>
    <xf numFmtId="0" fontId="13" fillId="7" borderId="33" xfId="0" applyFont="1" applyFill="1" applyBorder="1" applyAlignment="1">
      <alignment vertical="center" wrapText="1"/>
    </xf>
    <xf numFmtId="4" fontId="13" fillId="7" borderId="31" xfId="0" applyNumberFormat="1" applyFont="1" applyFill="1" applyBorder="1" applyAlignment="1">
      <alignment vertical="center"/>
    </xf>
    <xf numFmtId="4" fontId="13" fillId="7" borderId="44" xfId="0" applyNumberFormat="1" applyFont="1" applyFill="1" applyBorder="1" applyAlignment="1">
      <alignment vertical="center"/>
    </xf>
    <xf numFmtId="4" fontId="13" fillId="7" borderId="30" xfId="0" applyNumberFormat="1" applyFont="1" applyFill="1" applyBorder="1" applyAlignment="1">
      <alignment vertical="center"/>
    </xf>
    <xf numFmtId="165" fontId="13" fillId="7" borderId="22" xfId="0" applyNumberFormat="1" applyFont="1" applyFill="1" applyBorder="1" applyAlignment="1">
      <alignment horizontal="right" vertical="center"/>
    </xf>
    <xf numFmtId="0" fontId="13" fillId="7" borderId="59" xfId="0" applyFont="1" applyFill="1" applyBorder="1" applyAlignment="1">
      <alignment vertical="center" wrapText="1"/>
    </xf>
    <xf numFmtId="4" fontId="13" fillId="7" borderId="3" xfId="0" applyNumberFormat="1" applyFont="1" applyFill="1" applyBorder="1" applyAlignment="1">
      <alignment vertical="center"/>
    </xf>
    <xf numFmtId="4" fontId="13" fillId="7" borderId="43" xfId="0" applyNumberFormat="1" applyFont="1" applyFill="1" applyBorder="1" applyAlignment="1">
      <alignment vertical="center"/>
    </xf>
    <xf numFmtId="4" fontId="13" fillId="7" borderId="9" xfId="0" applyNumberFormat="1" applyFont="1" applyFill="1" applyBorder="1" applyAlignment="1">
      <alignment vertical="center"/>
    </xf>
    <xf numFmtId="0" fontId="16" fillId="6" borderId="5" xfId="0" applyFont="1" applyFill="1" applyBorder="1" applyAlignment="1">
      <alignment horizontal="center" vertical="center"/>
    </xf>
    <xf numFmtId="3" fontId="16" fillId="6" borderId="6" xfId="1" applyNumberFormat="1" applyFont="1" applyFill="1" applyBorder="1" applyAlignment="1">
      <alignment horizontal="center" vertical="center" wrapText="1"/>
    </xf>
    <xf numFmtId="3" fontId="16" fillId="3" borderId="10" xfId="1" applyNumberFormat="1" applyFont="1" applyFill="1" applyBorder="1" applyAlignment="1">
      <alignment horizontal="center" vertical="center" wrapText="1"/>
    </xf>
    <xf numFmtId="0" fontId="13" fillId="8" borderId="47" xfId="0" applyFont="1" applyFill="1" applyBorder="1" applyAlignment="1">
      <alignment vertical="center" wrapText="1"/>
    </xf>
    <xf numFmtId="4" fontId="13" fillId="8" borderId="2" xfId="0" applyNumberFormat="1" applyFont="1" applyFill="1" applyBorder="1" applyAlignment="1">
      <alignment vertical="center"/>
    </xf>
    <xf numFmtId="4" fontId="13" fillId="8" borderId="41" xfId="0" applyNumberFormat="1" applyFont="1" applyFill="1" applyBorder="1" applyAlignment="1">
      <alignment vertical="center"/>
    </xf>
    <xf numFmtId="4" fontId="13" fillId="8" borderId="8" xfId="0" applyNumberFormat="1" applyFont="1" applyFill="1" applyBorder="1" applyAlignment="1">
      <alignment vertical="center"/>
    </xf>
    <xf numFmtId="0" fontId="13" fillId="8" borderId="59" xfId="0" applyFont="1" applyFill="1" applyBorder="1" applyAlignment="1">
      <alignment vertical="center" wrapText="1"/>
    </xf>
    <xf numFmtId="4" fontId="13" fillId="8" borderId="3" xfId="0" applyNumberFormat="1" applyFont="1" applyFill="1" applyBorder="1" applyAlignment="1">
      <alignment vertical="center"/>
    </xf>
    <xf numFmtId="4" fontId="13" fillId="8" borderId="43" xfId="0" applyNumberFormat="1" applyFont="1" applyFill="1" applyBorder="1" applyAlignment="1">
      <alignment vertical="center"/>
    </xf>
    <xf numFmtId="4" fontId="13" fillId="8" borderId="9" xfId="0" applyNumberFormat="1" applyFont="1" applyFill="1" applyBorder="1" applyAlignment="1">
      <alignment vertical="center"/>
    </xf>
    <xf numFmtId="165" fontId="13" fillId="8" borderId="12" xfId="0" applyNumberFormat="1" applyFont="1" applyFill="1" applyBorder="1" applyAlignment="1">
      <alignment horizontal="right" vertical="center"/>
    </xf>
    <xf numFmtId="165" fontId="13" fillId="8" borderId="22" xfId="0" applyNumberFormat="1" applyFont="1" applyFill="1" applyBorder="1" applyAlignment="1">
      <alignment horizontal="right" vertical="center"/>
    </xf>
    <xf numFmtId="168" fontId="11" fillId="0" borderId="0" xfId="0" applyNumberFormat="1" applyFont="1"/>
    <xf numFmtId="0" fontId="13" fillId="0" borderId="54" xfId="0" applyFont="1" applyBorder="1" applyAlignment="1">
      <alignment vertical="center"/>
    </xf>
    <xf numFmtId="0" fontId="13" fillId="0" borderId="21" xfId="0" applyFont="1" applyBorder="1" applyAlignment="1">
      <alignment vertical="center" wrapText="1"/>
    </xf>
    <xf numFmtId="3" fontId="13" fillId="0" borderId="13" xfId="0" applyNumberFormat="1" applyFont="1" applyBorder="1" applyAlignment="1">
      <alignment vertical="center"/>
    </xf>
    <xf numFmtId="4" fontId="13" fillId="0" borderId="42" xfId="0" applyNumberFormat="1" applyFont="1" applyBorder="1" applyAlignment="1">
      <alignment vertical="center"/>
    </xf>
    <xf numFmtId="0" fontId="23" fillId="0" borderId="25" xfId="0" applyFont="1" applyBorder="1" applyAlignment="1">
      <alignment vertical="center" wrapText="1"/>
    </xf>
    <xf numFmtId="4" fontId="23" fillId="0" borderId="42" xfId="0" applyNumberFormat="1" applyFont="1" applyBorder="1" applyAlignment="1">
      <alignment horizontal="right" vertical="center"/>
    </xf>
    <xf numFmtId="3" fontId="23" fillId="0" borderId="13" xfId="0" applyNumberFormat="1" applyFont="1" applyBorder="1" applyAlignment="1">
      <alignment vertical="center"/>
    </xf>
    <xf numFmtId="4" fontId="23" fillId="0" borderId="42" xfId="0" applyNumberFormat="1" applyFont="1" applyBorder="1" applyAlignment="1">
      <alignment vertical="center"/>
    </xf>
    <xf numFmtId="165" fontId="30" fillId="0" borderId="25" xfId="0" applyNumberFormat="1" applyFont="1" applyBorder="1" applyAlignment="1">
      <alignment horizontal="right" vertical="center"/>
    </xf>
    <xf numFmtId="0" fontId="13" fillId="0" borderId="25" xfId="0" applyFont="1" applyBorder="1" applyAlignment="1">
      <alignment vertical="center" wrapText="1"/>
    </xf>
    <xf numFmtId="4" fontId="13" fillId="0" borderId="15" xfId="0" applyNumberFormat="1" applyFont="1" applyBorder="1" applyAlignment="1">
      <alignment vertical="center"/>
    </xf>
    <xf numFmtId="3" fontId="13" fillId="0" borderId="2" xfId="0" applyNumberFormat="1" applyFont="1" applyBorder="1" applyAlignment="1">
      <alignment vertical="center"/>
    </xf>
    <xf numFmtId="4" fontId="13" fillId="0" borderId="41" xfId="0" applyNumberFormat="1" applyFont="1" applyBorder="1" applyAlignment="1">
      <alignment vertical="center"/>
    </xf>
    <xf numFmtId="4" fontId="13" fillId="0" borderId="50" xfId="0" applyNumberFormat="1" applyFont="1" applyBorder="1" applyAlignment="1">
      <alignment vertical="center"/>
    </xf>
    <xf numFmtId="3" fontId="13" fillId="0" borderId="3" xfId="0" applyNumberFormat="1" applyFont="1" applyBorder="1" applyAlignment="1">
      <alignment vertical="center"/>
    </xf>
    <xf numFmtId="4" fontId="13" fillId="0" borderId="43" xfId="0" applyNumberFormat="1" applyFont="1" applyBorder="1" applyAlignment="1">
      <alignment vertical="center"/>
    </xf>
    <xf numFmtId="3" fontId="17" fillId="9" borderId="30" xfId="15" applyNumberFormat="1" applyFont="1" applyFill="1" applyBorder="1" applyAlignment="1">
      <alignment horizontal="center" vertical="center" wrapText="1"/>
    </xf>
    <xf numFmtId="3" fontId="17" fillId="10" borderId="31" xfId="15" applyNumberFormat="1" applyFont="1" applyFill="1" applyBorder="1" applyAlignment="1">
      <alignment horizontal="center" vertical="center" wrapText="1"/>
    </xf>
    <xf numFmtId="3" fontId="17" fillId="11" borderId="44" xfId="15" applyNumberFormat="1" applyFont="1" applyFill="1" applyBorder="1" applyAlignment="1">
      <alignment horizontal="center" vertical="center" wrapText="1"/>
    </xf>
    <xf numFmtId="3" fontId="17" fillId="3" borderId="39" xfId="1" applyNumberFormat="1" applyFont="1" applyFill="1" applyBorder="1" applyAlignment="1">
      <alignment horizontal="center" vertical="center" wrapText="1"/>
    </xf>
    <xf numFmtId="165" fontId="11" fillId="0" borderId="0" xfId="0" applyNumberFormat="1" applyFont="1" applyAlignment="1">
      <alignment horizontal="right"/>
    </xf>
    <xf numFmtId="3" fontId="16" fillId="6" borderId="5" xfId="0" applyNumberFormat="1" applyFont="1" applyFill="1" applyBorder="1"/>
    <xf numFmtId="3" fontId="13" fillId="6" borderId="31" xfId="1" applyNumberFormat="1" applyFont="1" applyFill="1" applyBorder="1" applyAlignment="1">
      <alignment horizontal="center" vertical="center" wrapText="1"/>
    </xf>
    <xf numFmtId="4" fontId="13" fillId="6" borderId="30" xfId="1" applyNumberFormat="1" applyFont="1" applyFill="1" applyBorder="1" applyAlignment="1">
      <alignment horizontal="center" vertical="center" wrapText="1"/>
    </xf>
    <xf numFmtId="4" fontId="13" fillId="6" borderId="68" xfId="1" applyNumberFormat="1" applyFont="1" applyFill="1" applyBorder="1" applyAlignment="1">
      <alignment horizontal="center" vertical="center" wrapText="1"/>
    </xf>
    <xf numFmtId="4" fontId="11" fillId="0" borderId="0" xfId="14" applyNumberFormat="1" applyFont="1" applyAlignment="1">
      <alignment horizontal="left" wrapText="1"/>
    </xf>
    <xf numFmtId="4" fontId="16" fillId="0" borderId="0" xfId="14" applyNumberFormat="1" applyFont="1"/>
    <xf numFmtId="4" fontId="13" fillId="6" borderId="44" xfId="1" applyNumberFormat="1" applyFont="1" applyFill="1" applyBorder="1" applyAlignment="1">
      <alignment horizontal="center" vertical="center" wrapText="1"/>
    </xf>
    <xf numFmtId="3" fontId="12" fillId="0" borderId="0" xfId="15" applyNumberFormat="1" applyFont="1"/>
    <xf numFmtId="4" fontId="12" fillId="0" borderId="0" xfId="15" applyNumberFormat="1" applyFont="1"/>
    <xf numFmtId="0" fontId="16" fillId="0" borderId="10" xfId="0" applyFont="1" applyBorder="1" applyAlignment="1">
      <alignment vertical="center" wrapText="1"/>
    </xf>
    <xf numFmtId="3" fontId="16" fillId="0" borderId="5" xfId="0" applyNumberFormat="1" applyFont="1" applyBorder="1" applyAlignment="1">
      <alignment vertical="center"/>
    </xf>
    <xf numFmtId="4" fontId="16" fillId="0" borderId="16" xfId="0" applyNumberFormat="1" applyFont="1" applyBorder="1" applyAlignment="1">
      <alignment vertical="center"/>
    </xf>
    <xf numFmtId="3" fontId="16" fillId="0" borderId="48" xfId="0" applyNumberFormat="1" applyFont="1" applyBorder="1" applyAlignment="1">
      <alignment vertical="center"/>
    </xf>
    <xf numFmtId="4" fontId="16" fillId="0" borderId="6" xfId="0" applyNumberFormat="1" applyFont="1" applyBorder="1" applyAlignment="1">
      <alignment vertical="center"/>
    </xf>
    <xf numFmtId="4" fontId="16" fillId="0" borderId="36" xfId="0" applyNumberFormat="1" applyFont="1" applyBorder="1" applyAlignment="1">
      <alignment vertical="center"/>
    </xf>
    <xf numFmtId="165" fontId="16" fillId="0" borderId="10" xfId="0" applyNumberFormat="1" applyFont="1" applyBorder="1" applyAlignment="1">
      <alignment vertical="center"/>
    </xf>
    <xf numFmtId="0" fontId="13" fillId="0" borderId="58" xfId="1" applyFont="1" applyBorder="1" applyAlignment="1">
      <alignment vertical="center"/>
    </xf>
    <xf numFmtId="4" fontId="17" fillId="3" borderId="18" xfId="1" applyNumberFormat="1" applyFont="1" applyFill="1" applyBorder="1" applyAlignment="1">
      <alignment vertical="center"/>
    </xf>
    <xf numFmtId="165" fontId="13" fillId="0" borderId="25" xfId="1" applyNumberFormat="1" applyFont="1" applyBorder="1" applyAlignment="1">
      <alignment vertical="center"/>
    </xf>
    <xf numFmtId="0" fontId="13" fillId="0" borderId="47" xfId="1" applyFont="1" applyBorder="1" applyAlignment="1">
      <alignment vertical="center"/>
    </xf>
    <xf numFmtId="4" fontId="13" fillId="0" borderId="2" xfId="1" applyNumberFormat="1" applyFont="1" applyBorder="1" applyAlignment="1">
      <alignment vertical="center"/>
    </xf>
    <xf numFmtId="4" fontId="13" fillId="0" borderId="41" xfId="1" applyNumberFormat="1" applyFont="1" applyBorder="1" applyAlignment="1">
      <alignment vertical="center"/>
    </xf>
    <xf numFmtId="4" fontId="13" fillId="0" borderId="50" xfId="1" applyNumberFormat="1" applyFont="1" applyBorder="1" applyAlignment="1">
      <alignment vertical="center"/>
    </xf>
    <xf numFmtId="4" fontId="13" fillId="0" borderId="8" xfId="1" applyNumberFormat="1" applyFont="1" applyBorder="1" applyAlignment="1">
      <alignment vertical="center"/>
    </xf>
    <xf numFmtId="4" fontId="17" fillId="3" borderId="12" xfId="1" applyNumberFormat="1" applyFont="1" applyFill="1" applyBorder="1" applyAlignment="1">
      <alignment vertical="center"/>
    </xf>
    <xf numFmtId="165" fontId="13" fillId="0" borderId="22" xfId="1" applyNumberFormat="1" applyFont="1" applyBorder="1" applyAlignment="1">
      <alignment vertical="center"/>
    </xf>
    <xf numFmtId="0" fontId="16" fillId="0" borderId="47" xfId="1" applyFont="1" applyBorder="1" applyAlignment="1">
      <alignment vertical="center"/>
    </xf>
    <xf numFmtId="4" fontId="16" fillId="0" borderId="2" xfId="1" applyNumberFormat="1" applyFont="1" applyBorder="1" applyAlignment="1">
      <alignment vertical="center"/>
    </xf>
    <xf numFmtId="4" fontId="16" fillId="0" borderId="41" xfId="1" applyNumberFormat="1" applyFont="1" applyBorder="1" applyAlignment="1">
      <alignment vertical="center"/>
    </xf>
    <xf numFmtId="4" fontId="16" fillId="0" borderId="50" xfId="1" applyNumberFormat="1" applyFont="1" applyBorder="1" applyAlignment="1">
      <alignment vertical="center"/>
    </xf>
    <xf numFmtId="4" fontId="16" fillId="0" borderId="17" xfId="1" applyNumberFormat="1" applyFont="1" applyBorder="1" applyAlignment="1">
      <alignment vertical="center"/>
    </xf>
    <xf numFmtId="4" fontId="16" fillId="3" borderId="12" xfId="1" applyNumberFormat="1" applyFont="1" applyFill="1" applyBorder="1" applyAlignment="1">
      <alignment vertical="center"/>
    </xf>
    <xf numFmtId="165" fontId="16" fillId="0" borderId="22" xfId="1" applyNumberFormat="1" applyFont="1" applyBorder="1" applyAlignment="1">
      <alignment vertical="center"/>
    </xf>
    <xf numFmtId="4" fontId="13" fillId="0" borderId="17" xfId="1" applyNumberFormat="1" applyFont="1" applyBorder="1" applyAlignment="1">
      <alignment vertical="center"/>
    </xf>
    <xf numFmtId="0" fontId="16" fillId="0" borderId="47" xfId="1" applyFont="1" applyBorder="1" applyAlignment="1">
      <alignment vertical="center" wrapText="1"/>
    </xf>
    <xf numFmtId="0" fontId="13" fillId="0" borderId="47" xfId="1" applyFont="1" applyBorder="1" applyAlignment="1">
      <alignment vertical="center" wrapText="1"/>
    </xf>
    <xf numFmtId="0" fontId="16" fillId="0" borderId="60" xfId="1" applyFont="1" applyBorder="1" applyAlignment="1">
      <alignment vertical="center" wrapText="1"/>
    </xf>
    <xf numFmtId="4" fontId="16" fillId="0" borderId="4" xfId="1" applyNumberFormat="1" applyFont="1" applyBorder="1" applyAlignment="1">
      <alignment vertical="center"/>
    </xf>
    <xf numFmtId="4" fontId="16" fillId="0" borderId="57" xfId="1" applyNumberFormat="1" applyFont="1" applyBorder="1" applyAlignment="1">
      <alignment vertical="center"/>
    </xf>
    <xf numFmtId="4" fontId="16" fillId="0" borderId="72" xfId="1" applyNumberFormat="1" applyFont="1" applyBorder="1" applyAlignment="1">
      <alignment vertical="center"/>
    </xf>
    <xf numFmtId="4" fontId="16" fillId="0" borderId="80" xfId="1" applyNumberFormat="1" applyFont="1" applyBorder="1" applyAlignment="1">
      <alignment vertical="center"/>
    </xf>
    <xf numFmtId="4" fontId="16" fillId="3" borderId="28" xfId="1" applyNumberFormat="1" applyFont="1" applyFill="1" applyBorder="1" applyAlignment="1">
      <alignment vertical="center"/>
    </xf>
    <xf numFmtId="165" fontId="16" fillId="0" borderId="27" xfId="1" applyNumberFormat="1" applyFont="1" applyBorder="1" applyAlignment="1">
      <alignment vertical="center"/>
    </xf>
    <xf numFmtId="0" fontId="16" fillId="0" borderId="56" xfId="1" applyFont="1" applyBorder="1" applyAlignment="1">
      <alignment vertical="center" wrapText="1"/>
    </xf>
    <xf numFmtId="4" fontId="16" fillId="0" borderId="5" xfId="1" applyNumberFormat="1" applyFont="1" applyBorder="1" applyAlignment="1">
      <alignment vertical="center"/>
    </xf>
    <xf numFmtId="4" fontId="16" fillId="0" borderId="16" xfId="1" applyNumberFormat="1" applyFont="1" applyBorder="1" applyAlignment="1">
      <alignment vertical="center"/>
    </xf>
    <xf numFmtId="4" fontId="16" fillId="0" borderId="36" xfId="1" applyNumberFormat="1" applyFont="1" applyBorder="1" applyAlignment="1">
      <alignment vertical="center"/>
    </xf>
    <xf numFmtId="4" fontId="16" fillId="3" borderId="10" xfId="1" applyNumberFormat="1" applyFont="1" applyFill="1" applyBorder="1" applyAlignment="1">
      <alignment vertical="center"/>
    </xf>
    <xf numFmtId="165" fontId="16" fillId="0" borderId="24" xfId="1" applyNumberFormat="1" applyFont="1" applyBorder="1" applyAlignment="1">
      <alignment horizontal="right" vertical="center"/>
    </xf>
    <xf numFmtId="49" fontId="13" fillId="0" borderId="2" xfId="2" applyNumberFormat="1" applyFont="1" applyBorder="1" applyAlignment="1">
      <alignment horizontal="center" vertical="center"/>
    </xf>
    <xf numFmtId="0" fontId="13" fillId="0" borderId="17" xfId="2" applyFont="1" applyBorder="1" applyAlignment="1">
      <alignment vertical="center" wrapText="1"/>
    </xf>
    <xf numFmtId="3" fontId="13" fillId="0" borderId="2" xfId="2" applyNumberFormat="1" applyFont="1" applyBorder="1" applyAlignment="1">
      <alignment vertical="center"/>
    </xf>
    <xf numFmtId="4" fontId="13" fillId="0" borderId="41" xfId="2" applyNumberFormat="1" applyFont="1" applyBorder="1" applyAlignment="1">
      <alignment vertical="center"/>
    </xf>
    <xf numFmtId="4" fontId="13" fillId="0" borderId="8" xfId="2" applyNumberFormat="1" applyFont="1" applyBorder="1" applyAlignment="1">
      <alignment vertical="center"/>
    </xf>
    <xf numFmtId="166" fontId="13" fillId="0" borderId="22" xfId="0" applyNumberFormat="1" applyFont="1" applyBorder="1" applyAlignment="1">
      <alignment horizontal="right" vertical="center"/>
    </xf>
    <xf numFmtId="0" fontId="13" fillId="0" borderId="41" xfId="0" applyFont="1" applyBorder="1" applyAlignment="1">
      <alignment vertical="center"/>
    </xf>
    <xf numFmtId="49" fontId="13" fillId="0" borderId="4" xfId="2" applyNumberFormat="1" applyFont="1" applyBorder="1" applyAlignment="1">
      <alignment horizontal="center" vertical="center"/>
    </xf>
    <xf numFmtId="0" fontId="13" fillId="0" borderId="80" xfId="2" applyFont="1" applyBorder="1" applyAlignment="1">
      <alignment vertical="center" wrapText="1"/>
    </xf>
    <xf numFmtId="3" fontId="13" fillId="0" borderId="4" xfId="2" applyNumberFormat="1" applyFont="1" applyBorder="1" applyAlignment="1">
      <alignment vertical="center"/>
    </xf>
    <xf numFmtId="4" fontId="13" fillId="0" borderId="57" xfId="2" applyNumberFormat="1" applyFont="1" applyBorder="1" applyAlignment="1">
      <alignment vertical="center"/>
    </xf>
    <xf numFmtId="4" fontId="13" fillId="0" borderId="29" xfId="2" applyNumberFormat="1" applyFont="1" applyBorder="1" applyAlignment="1">
      <alignment vertical="center"/>
    </xf>
    <xf numFmtId="0" fontId="16" fillId="0" borderId="5" xfId="0" applyFont="1" applyBorder="1" applyAlignment="1">
      <alignment vertical="center"/>
    </xf>
    <xf numFmtId="0" fontId="16" fillId="0" borderId="36" xfId="0" applyFont="1" applyBorder="1" applyAlignment="1">
      <alignment vertical="center" wrapText="1"/>
    </xf>
    <xf numFmtId="166" fontId="16" fillId="0" borderId="24" xfId="0" applyNumberFormat="1" applyFont="1" applyBorder="1" applyAlignment="1">
      <alignment vertical="center"/>
    </xf>
    <xf numFmtId="3" fontId="11" fillId="0" borderId="0" xfId="0" applyNumberFormat="1" applyFont="1" applyAlignment="1">
      <alignment vertical="center"/>
    </xf>
    <xf numFmtId="4" fontId="11" fillId="0" borderId="0" xfId="0" applyNumberFormat="1" applyFont="1" applyAlignment="1">
      <alignment vertical="center"/>
    </xf>
    <xf numFmtId="166" fontId="11" fillId="0" borderId="0" xfId="0" applyNumberFormat="1" applyFont="1" applyAlignment="1">
      <alignment vertical="center"/>
    </xf>
    <xf numFmtId="0" fontId="13" fillId="0" borderId="59" xfId="0" applyFont="1" applyBorder="1" applyAlignment="1">
      <alignment wrapText="1"/>
    </xf>
    <xf numFmtId="3" fontId="17" fillId="3" borderId="12" xfId="0" applyNumberFormat="1" applyFont="1" applyFill="1" applyBorder="1" applyAlignment="1">
      <alignment horizontal="right" vertical="center"/>
    </xf>
    <xf numFmtId="3" fontId="23" fillId="0" borderId="2" xfId="0" applyNumberFormat="1" applyFont="1" applyBorder="1" applyAlignment="1">
      <alignment horizontal="right" vertical="center"/>
    </xf>
    <xf numFmtId="4" fontId="23" fillId="0" borderId="41" xfId="0" applyNumberFormat="1" applyFont="1" applyBorder="1" applyAlignment="1">
      <alignment horizontal="right" vertical="center"/>
    </xf>
    <xf numFmtId="4" fontId="23" fillId="0" borderId="8" xfId="0" applyNumberFormat="1" applyFont="1" applyBorder="1" applyAlignment="1">
      <alignment horizontal="right" vertical="center"/>
    </xf>
    <xf numFmtId="165" fontId="23" fillId="0" borderId="12" xfId="0" applyNumberFormat="1" applyFont="1" applyBorder="1" applyAlignment="1">
      <alignment vertical="center"/>
    </xf>
    <xf numFmtId="0" fontId="23" fillId="0" borderId="70" xfId="0" applyFont="1" applyBorder="1" applyAlignment="1">
      <alignment vertical="center"/>
    </xf>
    <xf numFmtId="165" fontId="17" fillId="0" borderId="14" xfId="0" applyNumberFormat="1" applyFont="1" applyBorder="1" applyAlignment="1">
      <alignment vertical="center"/>
    </xf>
    <xf numFmtId="166" fontId="13" fillId="0" borderId="0" xfId="15" applyNumberFormat="1" applyFont="1" applyAlignment="1">
      <alignment horizontal="right" vertical="center"/>
    </xf>
    <xf numFmtId="0" fontId="16" fillId="0" borderId="0" xfId="15" applyFont="1" applyAlignment="1">
      <alignment vertical="center"/>
    </xf>
    <xf numFmtId="3" fontId="16" fillId="0" borderId="0" xfId="15" applyNumberFormat="1" applyFont="1" applyAlignment="1">
      <alignment vertical="center"/>
    </xf>
    <xf numFmtId="4" fontId="16" fillId="0" borderId="0" xfId="15" applyNumberFormat="1" applyFont="1" applyAlignment="1">
      <alignment vertical="center"/>
    </xf>
    <xf numFmtId="0" fontId="11" fillId="0" borderId="0" xfId="14" applyFont="1" applyAlignment="1">
      <alignment horizontal="left" vertical="center" wrapText="1"/>
    </xf>
    <xf numFmtId="3" fontId="23" fillId="0" borderId="9" xfId="14" applyNumberFormat="1" applyFont="1" applyBorder="1" applyAlignment="1">
      <alignment vertical="center"/>
    </xf>
    <xf numFmtId="0" fontId="13" fillId="0" borderId="11" xfId="0" applyFont="1" applyBorder="1" applyAlignment="1">
      <alignment wrapText="1"/>
    </xf>
    <xf numFmtId="4" fontId="23" fillId="0" borderId="38" xfId="14" applyNumberFormat="1" applyFont="1" applyBorder="1" applyAlignment="1">
      <alignment vertical="center"/>
    </xf>
    <xf numFmtId="0" fontId="11" fillId="0" borderId="0" xfId="14" applyFont="1" applyAlignment="1">
      <alignment horizontal="center" vertical="center"/>
    </xf>
    <xf numFmtId="1" fontId="12" fillId="0" borderId="0" xfId="14" applyNumberFormat="1" applyFont="1"/>
    <xf numFmtId="0" fontId="31" fillId="0" borderId="0" xfId="14" applyFont="1" applyAlignment="1">
      <alignment horizontal="left" vertical="center"/>
    </xf>
    <xf numFmtId="0" fontId="31" fillId="0" borderId="0" xfId="14" applyFont="1" applyAlignment="1">
      <alignment vertical="center"/>
    </xf>
    <xf numFmtId="0" fontId="30" fillId="0" borderId="0" xfId="14" applyFont="1" applyAlignment="1">
      <alignment horizontal="left" vertical="center"/>
    </xf>
    <xf numFmtId="3" fontId="13" fillId="0" borderId="13" xfId="0" applyNumberFormat="1" applyFont="1" applyBorder="1" applyAlignment="1">
      <alignment horizontal="right" vertical="center"/>
    </xf>
    <xf numFmtId="4" fontId="13" fillId="0" borderId="42" xfId="0" applyNumberFormat="1" applyFont="1" applyBorder="1" applyAlignment="1">
      <alignment horizontal="right" vertical="center"/>
    </xf>
    <xf numFmtId="4" fontId="13" fillId="0" borderId="15" xfId="0" applyNumberFormat="1" applyFont="1" applyBorder="1" applyAlignment="1">
      <alignment horizontal="right" vertical="center"/>
    </xf>
    <xf numFmtId="3" fontId="17" fillId="3" borderId="18" xfId="0" applyNumberFormat="1" applyFont="1" applyFill="1" applyBorder="1" applyAlignment="1">
      <alignment horizontal="right" vertical="center"/>
    </xf>
    <xf numFmtId="165" fontId="13" fillId="0" borderId="25" xfId="0" applyNumberFormat="1" applyFont="1" applyBorder="1" applyAlignment="1">
      <alignment vertical="center"/>
    </xf>
    <xf numFmtId="3" fontId="13" fillId="0" borderId="2" xfId="0" applyNumberFormat="1" applyFont="1" applyBorder="1" applyAlignment="1">
      <alignment horizontal="right" vertical="center"/>
    </xf>
    <xf numFmtId="4" fontId="13" fillId="0" borderId="41" xfId="0" applyNumberFormat="1" applyFont="1" applyBorder="1" applyAlignment="1">
      <alignment horizontal="right" vertical="center"/>
    </xf>
    <xf numFmtId="4" fontId="13" fillId="0" borderId="8" xfId="0" applyNumberFormat="1" applyFont="1" applyBorder="1" applyAlignment="1">
      <alignment horizontal="right" vertical="center"/>
    </xf>
    <xf numFmtId="165" fontId="13" fillId="0" borderId="22" xfId="0" applyNumberFormat="1" applyFont="1" applyBorder="1" applyAlignment="1">
      <alignment vertical="center"/>
    </xf>
    <xf numFmtId="4" fontId="13" fillId="0" borderId="9" xfId="0" applyNumberFormat="1" applyFont="1" applyBorder="1" applyAlignment="1">
      <alignment vertical="center"/>
    </xf>
    <xf numFmtId="165" fontId="13" fillId="0" borderId="26" xfId="0" applyNumberFormat="1" applyFont="1" applyBorder="1" applyAlignment="1">
      <alignment vertical="center"/>
    </xf>
    <xf numFmtId="4" fontId="23" fillId="0" borderId="70" xfId="14" applyNumberFormat="1" applyFont="1" applyBorder="1" applyAlignment="1">
      <alignment vertical="center"/>
    </xf>
    <xf numFmtId="0" fontId="23" fillId="0" borderId="70" xfId="14" applyFont="1" applyBorder="1" applyAlignment="1">
      <alignment vertical="center" wrapText="1"/>
    </xf>
    <xf numFmtId="4" fontId="23" fillId="0" borderId="50" xfId="14" applyNumberFormat="1" applyFont="1" applyBorder="1" applyAlignment="1">
      <alignment vertical="center"/>
    </xf>
    <xf numFmtId="0" fontId="23" fillId="0" borderId="8" xfId="14" applyFont="1" applyBorder="1" applyAlignment="1">
      <alignment vertical="center" wrapText="1"/>
    </xf>
    <xf numFmtId="0" fontId="13" fillId="8" borderId="60" xfId="0" applyFont="1" applyFill="1" applyBorder="1" applyAlignment="1">
      <alignment vertical="center" wrapText="1"/>
    </xf>
    <xf numFmtId="4" fontId="13" fillId="8" borderId="4" xfId="0" applyNumberFormat="1" applyFont="1" applyFill="1" applyBorder="1" applyAlignment="1">
      <alignment vertical="center"/>
    </xf>
    <xf numFmtId="4" fontId="13" fillId="8" borderId="57" xfId="0" applyNumberFormat="1" applyFont="1" applyFill="1" applyBorder="1" applyAlignment="1">
      <alignment vertical="center"/>
    </xf>
    <xf numFmtId="4" fontId="13" fillId="8" borderId="29" xfId="0" applyNumberFormat="1" applyFont="1" applyFill="1" applyBorder="1" applyAlignment="1">
      <alignment vertical="center"/>
    </xf>
    <xf numFmtId="4" fontId="17" fillId="3" borderId="28" xfId="0" applyNumberFormat="1" applyFont="1" applyFill="1" applyBorder="1" applyAlignment="1">
      <alignment vertical="center"/>
    </xf>
    <xf numFmtId="4" fontId="23" fillId="5" borderId="38" xfId="0" applyNumberFormat="1" applyFont="1" applyFill="1" applyBorder="1" applyAlignment="1">
      <alignment vertical="center"/>
    </xf>
    <xf numFmtId="3" fontId="30" fillId="0" borderId="50" xfId="0" applyNumberFormat="1" applyFont="1" applyBorder="1"/>
    <xf numFmtId="4" fontId="15" fillId="0" borderId="7" xfId="14" applyNumberFormat="1" applyFont="1" applyBorder="1" applyAlignment="1">
      <alignment horizontal="right" vertical="center"/>
    </xf>
    <xf numFmtId="4" fontId="15" fillId="0" borderId="21" xfId="14" applyNumberFormat="1" applyFont="1" applyBorder="1" applyAlignment="1">
      <alignment horizontal="right" vertical="center"/>
    </xf>
    <xf numFmtId="166" fontId="15" fillId="0" borderId="1" xfId="15" applyNumberFormat="1" applyFont="1" applyBorder="1" applyAlignment="1">
      <alignment horizontal="right" vertical="center"/>
    </xf>
    <xf numFmtId="166" fontId="15" fillId="0" borderId="45" xfId="14" applyNumberFormat="1" applyFont="1" applyBorder="1" applyAlignment="1">
      <alignment horizontal="right" vertical="center" wrapText="1"/>
    </xf>
    <xf numFmtId="0" fontId="15" fillId="0" borderId="1" xfId="14" applyFont="1" applyBorder="1" applyAlignment="1">
      <alignment horizontal="center" vertical="center"/>
    </xf>
    <xf numFmtId="3" fontId="15" fillId="0" borderId="1" xfId="14" applyNumberFormat="1" applyFont="1" applyBorder="1" applyAlignment="1">
      <alignment vertical="center"/>
    </xf>
    <xf numFmtId="4" fontId="15" fillId="0" borderId="21" xfId="14" applyNumberFormat="1" applyFont="1" applyBorder="1" applyAlignment="1">
      <alignment vertical="center"/>
    </xf>
    <xf numFmtId="0" fontId="15" fillId="0" borderId="45" xfId="14" applyFont="1" applyBorder="1" applyAlignment="1">
      <alignment vertical="center" wrapText="1"/>
    </xf>
    <xf numFmtId="0" fontId="15" fillId="0" borderId="0" xfId="14" applyFont="1" applyAlignment="1">
      <alignment horizontal="left"/>
    </xf>
    <xf numFmtId="3" fontId="17" fillId="0" borderId="63" xfId="0" applyNumberFormat="1" applyFont="1" applyBorder="1" applyAlignment="1">
      <alignment horizontal="right" vertical="center"/>
    </xf>
    <xf numFmtId="4" fontId="17" fillId="0" borderId="45" xfId="0" applyNumberFormat="1" applyFont="1" applyBorder="1" applyAlignment="1">
      <alignment horizontal="right" vertical="center"/>
    </xf>
    <xf numFmtId="4" fontId="17" fillId="0" borderId="7" xfId="0" applyNumberFormat="1" applyFont="1" applyBorder="1" applyAlignment="1">
      <alignment horizontal="right" vertical="center"/>
    </xf>
    <xf numFmtId="4" fontId="17" fillId="0" borderId="21" xfId="0" applyNumberFormat="1" applyFont="1" applyBorder="1" applyAlignment="1">
      <alignment horizontal="right" vertical="center"/>
    </xf>
    <xf numFmtId="0" fontId="23" fillId="0" borderId="79" xfId="0" applyFont="1" applyBorder="1" applyAlignment="1">
      <alignment vertical="center"/>
    </xf>
    <xf numFmtId="4" fontId="23" fillId="0" borderId="46" xfId="0" applyNumberFormat="1" applyFont="1" applyBorder="1" applyAlignment="1">
      <alignment horizontal="right" vertical="center"/>
    </xf>
    <xf numFmtId="3" fontId="23" fillId="0" borderId="19" xfId="0" applyNumberFormat="1" applyFont="1" applyBorder="1" applyAlignment="1">
      <alignment horizontal="right" vertical="center"/>
    </xf>
    <xf numFmtId="4" fontId="23" fillId="0" borderId="20" xfId="0" applyNumberFormat="1" applyFont="1" applyBorder="1" applyAlignment="1">
      <alignment horizontal="right" vertical="center"/>
    </xf>
    <xf numFmtId="4" fontId="23" fillId="0" borderId="23" xfId="0" applyNumberFormat="1" applyFont="1" applyBorder="1" applyAlignment="1">
      <alignment horizontal="right" vertical="center"/>
    </xf>
    <xf numFmtId="165" fontId="23" fillId="0" borderId="62" xfId="0" applyNumberFormat="1" applyFont="1" applyBorder="1" applyAlignment="1">
      <alignment vertical="center"/>
    </xf>
    <xf numFmtId="165" fontId="23" fillId="0" borderId="62" xfId="0" applyNumberFormat="1" applyFont="1" applyBorder="1" applyAlignment="1">
      <alignment horizontal="right" vertical="center"/>
    </xf>
    <xf numFmtId="14" fontId="13" fillId="0" borderId="58" xfId="0" applyNumberFormat="1" applyFont="1" applyBorder="1" applyAlignment="1">
      <alignment vertical="center"/>
    </xf>
    <xf numFmtId="14" fontId="13" fillId="0" borderId="47" xfId="0" applyNumberFormat="1" applyFont="1" applyBorder="1" applyAlignment="1">
      <alignment vertical="center"/>
    </xf>
    <xf numFmtId="14" fontId="13" fillId="0" borderId="59" xfId="0" applyNumberFormat="1" applyFont="1" applyBorder="1" applyAlignment="1">
      <alignment vertical="center"/>
    </xf>
    <xf numFmtId="0" fontId="20" fillId="0" borderId="0" xfId="1" applyFont="1" applyAlignment="1">
      <alignment vertical="center"/>
    </xf>
    <xf numFmtId="3" fontId="11" fillId="0" borderId="0" xfId="1" applyNumberFormat="1" applyFont="1" applyAlignment="1">
      <alignment vertical="center"/>
    </xf>
    <xf numFmtId="0" fontId="23" fillId="0" borderId="77" xfId="0" applyFont="1" applyBorder="1" applyAlignment="1">
      <alignment vertical="center"/>
    </xf>
    <xf numFmtId="14" fontId="11" fillId="0" borderId="0" xfId="0" applyNumberFormat="1" applyFont="1" applyAlignment="1">
      <alignment vertical="center"/>
    </xf>
    <xf numFmtId="0" fontId="14" fillId="0" borderId="0" xfId="14" applyFont="1" applyAlignment="1">
      <alignment horizontal="left" vertical="center"/>
    </xf>
    <xf numFmtId="0" fontId="14" fillId="0" borderId="0" xfId="14" applyFont="1" applyAlignment="1">
      <alignment horizontal="center" vertical="center"/>
    </xf>
    <xf numFmtId="3" fontId="26" fillId="0" borderId="0" xfId="14" applyNumberFormat="1" applyFont="1" applyAlignment="1">
      <alignment vertical="center"/>
    </xf>
    <xf numFmtId="4" fontId="26" fillId="0" borderId="0" xfId="14" applyNumberFormat="1" applyFont="1" applyAlignment="1">
      <alignment vertical="center"/>
    </xf>
    <xf numFmtId="0" fontId="15" fillId="0" borderId="0" xfId="14" applyFont="1" applyAlignment="1">
      <alignment horizontal="center" vertical="center"/>
    </xf>
    <xf numFmtId="0" fontId="16" fillId="0" borderId="76" xfId="15" applyFont="1" applyBorder="1" applyAlignment="1">
      <alignment vertical="center"/>
    </xf>
    <xf numFmtId="4" fontId="23" fillId="0" borderId="0" xfId="0" applyNumberFormat="1" applyFont="1"/>
    <xf numFmtId="14" fontId="17" fillId="0" borderId="0" xfId="0" applyNumberFormat="1" applyFont="1" applyAlignment="1">
      <alignment vertical="center" wrapText="1"/>
    </xf>
    <xf numFmtId="165" fontId="23" fillId="0" borderId="18" xfId="0" applyNumberFormat="1" applyFont="1" applyBorder="1" applyAlignment="1">
      <alignment horizontal="right" vertical="center"/>
    </xf>
    <xf numFmtId="0" fontId="16" fillId="0" borderId="54" xfId="0" applyFont="1" applyBorder="1" applyAlignment="1">
      <alignment vertical="center"/>
    </xf>
    <xf numFmtId="165" fontId="16" fillId="0" borderId="24" xfId="0" applyNumberFormat="1" applyFont="1" applyBorder="1" applyAlignment="1">
      <alignment vertical="center"/>
    </xf>
    <xf numFmtId="165" fontId="16" fillId="6" borderId="48" xfId="14" applyNumberFormat="1" applyFont="1" applyFill="1" applyBorder="1" applyAlignment="1">
      <alignment vertical="center"/>
    </xf>
    <xf numFmtId="165" fontId="16" fillId="6" borderId="24" xfId="14" applyNumberFormat="1" applyFont="1" applyFill="1" applyBorder="1" applyAlignment="1">
      <alignment vertical="center"/>
    </xf>
    <xf numFmtId="0" fontId="11" fillId="0" borderId="0" xfId="0" applyFont="1" applyAlignment="1">
      <alignment horizontal="left" wrapText="1"/>
    </xf>
    <xf numFmtId="0" fontId="16" fillId="6" borderId="36" xfId="14" applyFont="1" applyFill="1" applyBorder="1" applyAlignment="1">
      <alignment vertical="center"/>
    </xf>
    <xf numFmtId="0" fontId="16" fillId="6" borderId="24" xfId="14" applyFont="1" applyFill="1" applyBorder="1" applyAlignment="1">
      <alignment vertical="center"/>
    </xf>
    <xf numFmtId="4" fontId="16" fillId="0" borderId="19" xfId="1" applyNumberFormat="1" applyFont="1" applyBorder="1" applyAlignment="1">
      <alignment vertical="center"/>
    </xf>
    <xf numFmtId="4" fontId="16" fillId="0" borderId="46" xfId="1" applyNumberFormat="1" applyFont="1" applyBorder="1" applyAlignment="1">
      <alignment vertical="center"/>
    </xf>
    <xf numFmtId="0" fontId="16" fillId="6" borderId="10" xfId="0" applyFont="1" applyFill="1" applyBorder="1" applyAlignment="1">
      <alignment wrapText="1"/>
    </xf>
    <xf numFmtId="3" fontId="16" fillId="6" borderId="5" xfId="0" applyNumberFormat="1" applyFont="1" applyFill="1" applyBorder="1" applyAlignment="1">
      <alignment wrapText="1"/>
    </xf>
    <xf numFmtId="4" fontId="16" fillId="6" borderId="6" xfId="0" applyNumberFormat="1" applyFont="1" applyFill="1" applyBorder="1" applyAlignment="1">
      <alignment wrapText="1"/>
    </xf>
    <xf numFmtId="4" fontId="16" fillId="6" borderId="36" xfId="0" applyNumberFormat="1" applyFont="1" applyFill="1" applyBorder="1" applyAlignment="1">
      <alignment wrapText="1"/>
    </xf>
    <xf numFmtId="3" fontId="17" fillId="3" borderId="26" xfId="0" applyNumberFormat="1" applyFont="1" applyFill="1" applyBorder="1"/>
    <xf numFmtId="0" fontId="16" fillId="6" borderId="56" xfId="0" applyFont="1" applyFill="1" applyBorder="1" applyAlignment="1">
      <alignment wrapText="1"/>
    </xf>
    <xf numFmtId="3" fontId="16" fillId="6" borderId="16" xfId="0" applyNumberFormat="1" applyFont="1" applyFill="1" applyBorder="1"/>
    <xf numFmtId="3" fontId="16" fillId="3" borderId="24" xfId="0" applyNumberFormat="1" applyFont="1" applyFill="1" applyBorder="1"/>
    <xf numFmtId="0" fontId="13" fillId="0" borderId="28" xfId="0" applyFont="1" applyBorder="1" applyAlignment="1">
      <alignment wrapText="1"/>
    </xf>
    <xf numFmtId="4" fontId="23" fillId="0" borderId="37" xfId="14" applyNumberFormat="1" applyFont="1" applyBorder="1" applyAlignment="1">
      <alignment horizontal="right" vertical="center"/>
    </xf>
    <xf numFmtId="4" fontId="23" fillId="0" borderId="50" xfId="14" applyNumberFormat="1" applyFont="1" applyBorder="1" applyAlignment="1">
      <alignment horizontal="right" vertical="center"/>
    </xf>
    <xf numFmtId="3" fontId="13" fillId="0" borderId="47" xfId="14" applyNumberFormat="1" applyFont="1" applyBorder="1" applyAlignment="1">
      <alignment horizontal="right" vertical="center"/>
    </xf>
    <xf numFmtId="3" fontId="23" fillId="0" borderId="47" xfId="14" applyNumberFormat="1" applyFont="1" applyBorder="1" applyAlignment="1">
      <alignment horizontal="right" vertical="center"/>
    </xf>
    <xf numFmtId="4" fontId="23" fillId="0" borderId="51" xfId="14" applyNumberFormat="1" applyFont="1" applyBorder="1" applyAlignment="1">
      <alignment horizontal="right" vertical="center"/>
    </xf>
    <xf numFmtId="4" fontId="23" fillId="5" borderId="8" xfId="14" applyNumberFormat="1" applyFont="1" applyFill="1" applyBorder="1" applyAlignment="1">
      <alignment horizontal="right" vertical="center"/>
    </xf>
    <xf numFmtId="3" fontId="23" fillId="5" borderId="2" xfId="14" applyNumberFormat="1" applyFont="1" applyFill="1" applyBorder="1" applyAlignment="1">
      <alignment vertical="center"/>
    </xf>
    <xf numFmtId="4" fontId="23" fillId="5" borderId="25" xfId="14" applyNumberFormat="1" applyFont="1" applyFill="1" applyBorder="1" applyAlignment="1">
      <alignment horizontal="right" vertical="center"/>
    </xf>
    <xf numFmtId="3" fontId="23" fillId="5" borderId="13" xfId="14" applyNumberFormat="1" applyFont="1" applyFill="1" applyBorder="1" applyAlignment="1">
      <alignment horizontal="right" vertical="center"/>
    </xf>
    <xf numFmtId="166" fontId="23" fillId="5" borderId="2" xfId="15" applyNumberFormat="1" applyFont="1" applyFill="1" applyBorder="1" applyAlignment="1">
      <alignment horizontal="right" vertical="center"/>
    </xf>
    <xf numFmtId="166" fontId="23" fillId="5" borderId="41" xfId="14" applyNumberFormat="1" applyFont="1" applyFill="1" applyBorder="1" applyAlignment="1">
      <alignment horizontal="right" vertical="center" wrapText="1"/>
    </xf>
    <xf numFmtId="3" fontId="23" fillId="5" borderId="13" xfId="14" applyNumberFormat="1" applyFont="1" applyFill="1" applyBorder="1" applyAlignment="1">
      <alignment vertical="center"/>
    </xf>
    <xf numFmtId="4" fontId="23" fillId="5" borderId="15" xfId="14" applyNumberFormat="1" applyFont="1" applyFill="1" applyBorder="1" applyAlignment="1">
      <alignment horizontal="right" vertical="center"/>
    </xf>
    <xf numFmtId="4" fontId="23" fillId="5" borderId="26" xfId="14" applyNumberFormat="1" applyFont="1" applyFill="1" applyBorder="1" applyAlignment="1">
      <alignment horizontal="right" vertical="center"/>
    </xf>
    <xf numFmtId="3" fontId="23" fillId="5" borderId="3" xfId="14" applyNumberFormat="1" applyFont="1" applyFill="1" applyBorder="1" applyAlignment="1">
      <alignment vertical="center"/>
    </xf>
    <xf numFmtId="4" fontId="23" fillId="5" borderId="9" xfId="14" applyNumberFormat="1" applyFont="1" applyFill="1" applyBorder="1" applyAlignment="1">
      <alignment horizontal="right" vertical="center"/>
    </xf>
    <xf numFmtId="0" fontId="23" fillId="0" borderId="17" xfId="19" applyFont="1" applyBorder="1" applyAlignment="1">
      <alignment vertical="center" wrapText="1"/>
    </xf>
    <xf numFmtId="4" fontId="13" fillId="0" borderId="42" xfId="14" applyNumberFormat="1" applyFont="1" applyBorder="1" applyAlignment="1">
      <alignment vertical="center"/>
    </xf>
    <xf numFmtId="3" fontId="13" fillId="0" borderId="58" xfId="14" applyNumberFormat="1" applyFont="1" applyBorder="1" applyAlignment="1">
      <alignment horizontal="right" vertical="center"/>
    </xf>
    <xf numFmtId="4" fontId="13" fillId="0" borderId="15" xfId="14" applyNumberFormat="1" applyFont="1" applyBorder="1" applyAlignment="1">
      <alignment vertical="center"/>
    </xf>
    <xf numFmtId="4" fontId="13" fillId="0" borderId="77" xfId="14" applyNumberFormat="1" applyFont="1" applyBorder="1" applyAlignment="1">
      <alignment vertical="center"/>
    </xf>
    <xf numFmtId="4" fontId="13" fillId="0" borderId="15" xfId="14" applyNumberFormat="1" applyFont="1" applyBorder="1" applyAlignment="1">
      <alignment horizontal="right" vertical="center"/>
    </xf>
    <xf numFmtId="4" fontId="13" fillId="0" borderId="25" xfId="14" applyNumberFormat="1" applyFont="1" applyBorder="1" applyAlignment="1">
      <alignment horizontal="right" vertical="center"/>
    </xf>
    <xf numFmtId="3" fontId="16" fillId="0" borderId="1" xfId="14" applyNumberFormat="1" applyFont="1" applyBorder="1" applyAlignment="1">
      <alignment vertical="center"/>
    </xf>
    <xf numFmtId="4" fontId="16" fillId="0" borderId="45" xfId="14" applyNumberFormat="1" applyFont="1" applyBorder="1" applyAlignment="1">
      <alignment vertical="center"/>
    </xf>
    <xf numFmtId="3" fontId="16" fillId="0" borderId="7" xfId="14" applyNumberFormat="1" applyFont="1" applyBorder="1" applyAlignment="1">
      <alignment horizontal="right" vertical="center"/>
    </xf>
    <xf numFmtId="4" fontId="16" fillId="0" borderId="7" xfId="14" applyNumberFormat="1" applyFont="1" applyBorder="1" applyAlignment="1">
      <alignment horizontal="right" vertical="center"/>
    </xf>
    <xf numFmtId="4" fontId="16" fillId="0" borderId="21" xfId="14" applyNumberFormat="1" applyFont="1" applyBorder="1" applyAlignment="1">
      <alignment horizontal="right" vertical="center"/>
    </xf>
    <xf numFmtId="166" fontId="16" fillId="0" borderId="1" xfId="15" applyNumberFormat="1" applyFont="1" applyBorder="1" applyAlignment="1">
      <alignment horizontal="right" vertical="center"/>
    </xf>
    <xf numFmtId="166" fontId="16" fillId="0" borderId="45" xfId="14" applyNumberFormat="1" applyFont="1" applyBorder="1" applyAlignment="1">
      <alignment horizontal="right" vertical="center" wrapText="1"/>
    </xf>
    <xf numFmtId="3" fontId="17" fillId="0" borderId="0" xfId="14" applyNumberFormat="1" applyFont="1" applyAlignment="1">
      <alignment horizontal="left" vertical="center"/>
    </xf>
    <xf numFmtId="0" fontId="17" fillId="0" borderId="0" xfId="14" applyFont="1" applyAlignment="1">
      <alignment horizontal="left" vertical="center"/>
    </xf>
    <xf numFmtId="3" fontId="16" fillId="0" borderId="13" xfId="14" applyNumberFormat="1" applyFont="1" applyBorder="1" applyAlignment="1">
      <alignment vertical="center"/>
    </xf>
    <xf numFmtId="4" fontId="16" fillId="0" borderId="42" xfId="14" applyNumberFormat="1" applyFont="1" applyBorder="1" applyAlignment="1">
      <alignment vertical="center"/>
    </xf>
    <xf numFmtId="3" fontId="16" fillId="0" borderId="15" xfId="14" applyNumberFormat="1" applyFont="1" applyBorder="1" applyAlignment="1">
      <alignment vertical="center"/>
    </xf>
    <xf numFmtId="4" fontId="16" fillId="0" borderId="49" xfId="14" applyNumberFormat="1" applyFont="1" applyBorder="1" applyAlignment="1">
      <alignment vertical="center"/>
    </xf>
    <xf numFmtId="4" fontId="16" fillId="0" borderId="15" xfId="14" applyNumberFormat="1" applyFont="1" applyBorder="1" applyAlignment="1">
      <alignment horizontal="right" vertical="center"/>
    </xf>
    <xf numFmtId="4" fontId="16" fillId="0" borderId="25" xfId="14" applyNumberFormat="1" applyFont="1" applyBorder="1" applyAlignment="1">
      <alignment horizontal="right" vertical="center"/>
    </xf>
    <xf numFmtId="166" fontId="16" fillId="0" borderId="13" xfId="15" applyNumberFormat="1" applyFont="1" applyBorder="1" applyAlignment="1">
      <alignment horizontal="right" vertical="center"/>
    </xf>
    <xf numFmtId="166" fontId="16" fillId="0" borderId="42" xfId="14" applyNumberFormat="1" applyFont="1" applyBorder="1" applyAlignment="1">
      <alignment horizontal="right" vertical="center" wrapText="1"/>
    </xf>
    <xf numFmtId="4" fontId="16" fillId="0" borderId="15" xfId="14" applyNumberFormat="1" applyFont="1" applyBorder="1" applyAlignment="1">
      <alignment vertical="center"/>
    </xf>
    <xf numFmtId="3" fontId="16" fillId="0" borderId="2" xfId="14" applyNumberFormat="1" applyFont="1" applyBorder="1" applyAlignment="1">
      <alignment vertical="center"/>
    </xf>
    <xf numFmtId="4" fontId="16" fillId="0" borderId="41" xfId="14" applyNumberFormat="1" applyFont="1" applyBorder="1" applyAlignment="1">
      <alignment vertical="center"/>
    </xf>
    <xf numFmtId="3" fontId="16" fillId="0" borderId="47" xfId="14" applyNumberFormat="1" applyFont="1" applyBorder="1" applyAlignment="1">
      <alignment horizontal="right" vertical="center"/>
    </xf>
    <xf numFmtId="4" fontId="16" fillId="0" borderId="8" xfId="14" applyNumberFormat="1" applyFont="1" applyBorder="1" applyAlignment="1">
      <alignment horizontal="right" vertical="center"/>
    </xf>
    <xf numFmtId="4" fontId="16" fillId="0" borderId="22" xfId="14" applyNumberFormat="1" applyFont="1" applyBorder="1" applyAlignment="1">
      <alignment horizontal="right" vertical="center"/>
    </xf>
    <xf numFmtId="166" fontId="16" fillId="0" borderId="2" xfId="15" applyNumberFormat="1" applyFont="1" applyBorder="1" applyAlignment="1">
      <alignment horizontal="right" vertical="center"/>
    </xf>
    <xf numFmtId="166" fontId="16" fillId="0" borderId="41" xfId="14" applyNumberFormat="1" applyFont="1" applyBorder="1" applyAlignment="1">
      <alignment horizontal="right" vertical="center" wrapText="1"/>
    </xf>
    <xf numFmtId="0" fontId="15" fillId="0" borderId="0" xfId="14" applyFont="1" applyAlignment="1">
      <alignment horizontal="left" vertical="center"/>
    </xf>
    <xf numFmtId="3" fontId="13" fillId="0" borderId="77" xfId="14" applyNumberFormat="1" applyFont="1" applyBorder="1" applyAlignment="1">
      <alignment horizontal="right" vertical="center"/>
    </xf>
    <xf numFmtId="4" fontId="13" fillId="0" borderId="77" xfId="14" applyNumberFormat="1" applyFont="1" applyBorder="1" applyAlignment="1">
      <alignment horizontal="right" vertical="center"/>
    </xf>
    <xf numFmtId="0" fontId="16" fillId="0" borderId="2" xfId="14" applyFont="1" applyBorder="1" applyAlignment="1">
      <alignment vertical="center"/>
    </xf>
    <xf numFmtId="4" fontId="13" fillId="5" borderId="26" xfId="14" applyNumberFormat="1" applyFont="1" applyFill="1" applyBorder="1" applyAlignment="1">
      <alignment horizontal="right" vertical="center"/>
    </xf>
    <xf numFmtId="3" fontId="13" fillId="5" borderId="3" xfId="14" applyNumberFormat="1" applyFont="1" applyFill="1" applyBorder="1" applyAlignment="1">
      <alignment vertical="center"/>
    </xf>
    <xf numFmtId="4" fontId="13" fillId="5" borderId="9" xfId="14" applyNumberFormat="1" applyFont="1" applyFill="1" applyBorder="1" applyAlignment="1">
      <alignment horizontal="right" vertical="center"/>
    </xf>
    <xf numFmtId="166" fontId="13" fillId="5" borderId="2" xfId="15" applyNumberFormat="1" applyFont="1" applyFill="1" applyBorder="1" applyAlignment="1">
      <alignment horizontal="right" vertical="center"/>
    </xf>
    <xf numFmtId="166" fontId="13" fillId="5" borderId="41" xfId="14" applyNumberFormat="1" applyFont="1" applyFill="1" applyBorder="1" applyAlignment="1">
      <alignment horizontal="right" vertical="center" wrapText="1"/>
    </xf>
    <xf numFmtId="0" fontId="12" fillId="0" borderId="0" xfId="14" applyFont="1" applyAlignment="1">
      <alignment vertical="center"/>
    </xf>
    <xf numFmtId="4" fontId="16" fillId="0" borderId="63" xfId="14" applyNumberFormat="1" applyFont="1" applyBorder="1" applyAlignment="1">
      <alignment vertical="center"/>
    </xf>
    <xf numFmtId="3" fontId="16" fillId="0" borderId="1" xfId="14" applyNumberFormat="1" applyFont="1" applyBorder="1" applyAlignment="1">
      <alignment horizontal="right" vertical="center"/>
    </xf>
    <xf numFmtId="4" fontId="16" fillId="0" borderId="22" xfId="14" applyNumberFormat="1" applyFont="1" applyBorder="1" applyAlignment="1">
      <alignment vertical="center"/>
    </xf>
    <xf numFmtId="166" fontId="16" fillId="0" borderId="51" xfId="15" applyNumberFormat="1" applyFont="1" applyBorder="1" applyAlignment="1">
      <alignment horizontal="right" vertical="center"/>
    </xf>
    <xf numFmtId="166" fontId="16" fillId="0" borderId="43" xfId="14" applyNumberFormat="1" applyFont="1" applyBorder="1" applyAlignment="1">
      <alignment horizontal="right" vertical="center" wrapText="1"/>
    </xf>
    <xf numFmtId="166" fontId="16" fillId="0" borderId="63" xfId="15" applyNumberFormat="1" applyFont="1" applyBorder="1" applyAlignment="1">
      <alignment horizontal="right" vertical="center"/>
    </xf>
    <xf numFmtId="3" fontId="16" fillId="0" borderId="3" xfId="14" applyNumberFormat="1" applyFont="1" applyBorder="1" applyAlignment="1">
      <alignment vertical="center"/>
    </xf>
    <xf numFmtId="4" fontId="16" fillId="0" borderId="26" xfId="14" applyNumberFormat="1" applyFont="1" applyBorder="1" applyAlignment="1">
      <alignment vertical="center"/>
    </xf>
    <xf numFmtId="4" fontId="16" fillId="0" borderId="9" xfId="14" applyNumberFormat="1" applyFont="1" applyBorder="1" applyAlignment="1">
      <alignment horizontal="right" vertical="center"/>
    </xf>
    <xf numFmtId="4" fontId="16" fillId="0" borderId="71" xfId="14" applyNumberFormat="1" applyFont="1" applyBorder="1" applyAlignment="1">
      <alignment horizontal="right" vertical="center"/>
    </xf>
    <xf numFmtId="3" fontId="16" fillId="0" borderId="19" xfId="14" applyNumberFormat="1" applyFont="1" applyBorder="1" applyAlignment="1">
      <alignment vertical="center"/>
    </xf>
    <xf numFmtId="4" fontId="16" fillId="0" borderId="20" xfId="14" applyNumberFormat="1" applyFont="1" applyBorder="1" applyAlignment="1">
      <alignment horizontal="right" vertical="center"/>
    </xf>
    <xf numFmtId="0" fontId="16" fillId="0" borderId="3" xfId="14" applyFont="1" applyBorder="1" applyAlignment="1">
      <alignment horizontal="center" vertical="center"/>
    </xf>
    <xf numFmtId="0" fontId="16" fillId="0" borderId="1" xfId="14" applyFont="1" applyBorder="1" applyAlignment="1">
      <alignment horizontal="centerContinuous" vertical="center"/>
    </xf>
    <xf numFmtId="0" fontId="16" fillId="0" borderId="71" xfId="14" applyFont="1" applyBorder="1" applyAlignment="1">
      <alignment vertical="center" wrapText="1"/>
    </xf>
    <xf numFmtId="4" fontId="16" fillId="0" borderId="43" xfId="14" applyNumberFormat="1" applyFont="1" applyBorder="1" applyAlignment="1">
      <alignment horizontal="right" vertical="center"/>
    </xf>
    <xf numFmtId="4" fontId="16" fillId="0" borderId="26" xfId="14" applyNumberFormat="1" applyFont="1" applyBorder="1" applyAlignment="1">
      <alignment horizontal="right" vertical="center"/>
    </xf>
    <xf numFmtId="166" fontId="16" fillId="0" borderId="50" xfId="15" applyNumberFormat="1" applyFont="1" applyBorder="1" applyAlignment="1">
      <alignment horizontal="right" vertical="center"/>
    </xf>
    <xf numFmtId="0" fontId="12" fillId="0" borderId="0" xfId="14" applyFont="1" applyAlignment="1">
      <alignment horizontal="left" vertical="center" wrapText="1"/>
    </xf>
    <xf numFmtId="0" fontId="16" fillId="0" borderId="2" xfId="14" applyFont="1" applyBorder="1" applyAlignment="1">
      <alignment horizontal="center" vertical="center"/>
    </xf>
    <xf numFmtId="4" fontId="16" fillId="0" borderId="41" xfId="14" applyNumberFormat="1" applyFont="1" applyBorder="1" applyAlignment="1">
      <alignment horizontal="right" vertical="center"/>
    </xf>
    <xf numFmtId="0" fontId="16" fillId="0" borderId="1" xfId="14" applyFont="1" applyBorder="1" applyAlignment="1">
      <alignment horizontal="center" vertical="center"/>
    </xf>
    <xf numFmtId="4" fontId="16" fillId="0" borderId="21" xfId="14" applyNumberFormat="1" applyFont="1" applyBorder="1" applyAlignment="1">
      <alignment vertical="center"/>
    </xf>
    <xf numFmtId="4" fontId="16" fillId="0" borderId="45" xfId="14" applyNumberFormat="1" applyFont="1" applyBorder="1" applyAlignment="1">
      <alignment horizontal="right" vertical="center"/>
    </xf>
    <xf numFmtId="166" fontId="16" fillId="0" borderId="45" xfId="15" applyNumberFormat="1" applyFont="1" applyBorder="1" applyAlignment="1">
      <alignment horizontal="right" vertical="center" wrapText="1"/>
    </xf>
    <xf numFmtId="0" fontId="16" fillId="5" borderId="2" xfId="14" applyFont="1" applyFill="1" applyBorder="1" applyAlignment="1">
      <alignment horizontal="center" vertical="center"/>
    </xf>
    <xf numFmtId="0" fontId="16" fillId="0" borderId="19" xfId="14" applyFont="1" applyBorder="1" applyAlignment="1">
      <alignment horizontal="center" vertical="center"/>
    </xf>
    <xf numFmtId="3" fontId="16" fillId="0" borderId="63" xfId="14" applyNumberFormat="1" applyFont="1" applyBorder="1" applyAlignment="1">
      <alignment vertical="center"/>
    </xf>
    <xf numFmtId="4" fontId="16" fillId="0" borderId="75" xfId="14" applyNumberFormat="1" applyFont="1" applyBorder="1" applyAlignment="1">
      <alignment vertical="center"/>
    </xf>
    <xf numFmtId="3" fontId="16" fillId="0" borderId="50" xfId="14" applyNumberFormat="1" applyFont="1" applyBorder="1" applyAlignment="1">
      <alignment vertical="center"/>
    </xf>
    <xf numFmtId="4" fontId="16" fillId="0" borderId="43" xfId="14" applyNumberFormat="1" applyFont="1" applyBorder="1" applyAlignment="1">
      <alignment vertical="center"/>
    </xf>
    <xf numFmtId="3" fontId="16" fillId="0" borderId="51" xfId="14" applyNumberFormat="1" applyFont="1" applyBorder="1" applyAlignment="1">
      <alignment vertical="center"/>
    </xf>
    <xf numFmtId="4" fontId="16" fillId="0" borderId="37" xfId="14" applyNumberFormat="1" applyFont="1" applyBorder="1" applyAlignment="1">
      <alignment vertical="center"/>
    </xf>
    <xf numFmtId="3" fontId="17" fillId="0" borderId="0" xfId="14" applyNumberFormat="1" applyFont="1" applyAlignment="1">
      <alignment vertical="center"/>
    </xf>
    <xf numFmtId="4" fontId="16" fillId="0" borderId="71" xfId="14" applyNumberFormat="1" applyFont="1" applyBorder="1" applyAlignment="1">
      <alignment vertical="center"/>
    </xf>
    <xf numFmtId="4" fontId="16" fillId="0" borderId="46" xfId="14" applyNumberFormat="1" applyFont="1" applyBorder="1" applyAlignment="1">
      <alignment vertical="center"/>
    </xf>
    <xf numFmtId="0" fontId="16" fillId="0" borderId="8" xfId="14" applyFont="1" applyBorder="1" applyAlignment="1">
      <alignment vertical="top"/>
    </xf>
    <xf numFmtId="4" fontId="16" fillId="0" borderId="50" xfId="14" applyNumberFormat="1" applyFont="1" applyBorder="1" applyAlignment="1">
      <alignment vertical="center"/>
    </xf>
    <xf numFmtId="3" fontId="16" fillId="0" borderId="58" xfId="14" applyNumberFormat="1" applyFont="1" applyBorder="1" applyAlignment="1">
      <alignment horizontal="right" vertical="center"/>
    </xf>
    <xf numFmtId="0" fontId="12" fillId="0" borderId="0" xfId="14" applyFont="1"/>
    <xf numFmtId="4" fontId="16" fillId="0" borderId="51" xfId="14" applyNumberFormat="1" applyFont="1" applyBorder="1" applyAlignment="1">
      <alignment horizontal="right" vertical="center"/>
    </xf>
    <xf numFmtId="0" fontId="24" fillId="0" borderId="0" xfId="14" applyFont="1"/>
    <xf numFmtId="3" fontId="16" fillId="0" borderId="2" xfId="14" applyNumberFormat="1" applyFont="1" applyBorder="1" applyAlignment="1">
      <alignment horizontal="right" vertical="center"/>
    </xf>
    <xf numFmtId="3" fontId="16" fillId="0" borderId="15" xfId="14" applyNumberFormat="1" applyFont="1" applyBorder="1" applyAlignment="1">
      <alignment horizontal="right" vertical="center"/>
    </xf>
    <xf numFmtId="0" fontId="12" fillId="0" borderId="0" xfId="14" applyFont="1" applyAlignment="1">
      <alignment horizontal="left"/>
    </xf>
    <xf numFmtId="4" fontId="16" fillId="0" borderId="42" xfId="20" applyNumberFormat="1" applyFont="1" applyBorder="1" applyAlignment="1">
      <alignment vertical="center"/>
    </xf>
    <xf numFmtId="4" fontId="16" fillId="0" borderId="38" xfId="14" applyNumberFormat="1" applyFont="1" applyBorder="1" applyAlignment="1">
      <alignment vertical="center"/>
    </xf>
    <xf numFmtId="166" fontId="16" fillId="0" borderId="50" xfId="20" applyNumberFormat="1" applyFont="1" applyBorder="1" applyAlignment="1">
      <alignment horizontal="right" vertical="center"/>
    </xf>
    <xf numFmtId="4" fontId="16" fillId="0" borderId="50" xfId="14" applyNumberFormat="1" applyFont="1" applyBorder="1" applyAlignment="1">
      <alignment horizontal="right" vertical="center"/>
    </xf>
    <xf numFmtId="4" fontId="16" fillId="0" borderId="70" xfId="14" applyNumberFormat="1" applyFont="1" applyBorder="1" applyAlignment="1">
      <alignment horizontal="right" vertical="center"/>
    </xf>
    <xf numFmtId="166" fontId="16" fillId="0" borderId="41" xfId="20" applyNumberFormat="1" applyFont="1" applyBorder="1" applyAlignment="1">
      <alignment horizontal="right" vertical="center" wrapText="1"/>
    </xf>
    <xf numFmtId="0" fontId="16" fillId="0" borderId="1" xfId="19" applyFont="1" applyBorder="1" applyAlignment="1">
      <alignment horizontal="center" vertical="center"/>
    </xf>
    <xf numFmtId="3" fontId="16" fillId="0" borderId="7" xfId="14" applyNumberFormat="1" applyFont="1" applyBorder="1" applyAlignment="1">
      <alignment vertical="center"/>
    </xf>
    <xf numFmtId="0" fontId="12" fillId="0" borderId="0" xfId="14" applyFont="1" applyAlignment="1">
      <alignment horizontal="left" vertical="center"/>
    </xf>
    <xf numFmtId="0" fontId="16" fillId="0" borderId="2" xfId="19" applyFont="1" applyBorder="1" applyAlignment="1">
      <alignment horizontal="center" vertical="center"/>
    </xf>
    <xf numFmtId="3" fontId="16" fillId="0" borderId="8" xfId="14" applyNumberFormat="1" applyFont="1" applyBorder="1" applyAlignment="1">
      <alignment vertical="center"/>
    </xf>
    <xf numFmtId="0" fontId="24" fillId="0" borderId="0" xfId="14" applyFont="1" applyAlignment="1">
      <alignment vertical="center"/>
    </xf>
    <xf numFmtId="3" fontId="16" fillId="0" borderId="9" xfId="14" applyNumberFormat="1" applyFont="1" applyBorder="1" applyAlignment="1">
      <alignment vertical="center"/>
    </xf>
    <xf numFmtId="0" fontId="16" fillId="0" borderId="8" xfId="14" applyFont="1" applyBorder="1" applyAlignment="1">
      <alignment vertical="top" wrapText="1"/>
    </xf>
    <xf numFmtId="0" fontId="12" fillId="0" borderId="0" xfId="14" applyFont="1" applyAlignment="1">
      <alignment horizontal="left" wrapText="1"/>
    </xf>
    <xf numFmtId="166" fontId="16" fillId="5" borderId="1" xfId="15" applyNumberFormat="1" applyFont="1" applyFill="1" applyBorder="1" applyAlignment="1">
      <alignment horizontal="right" vertical="center"/>
    </xf>
    <xf numFmtId="166" fontId="16" fillId="5" borderId="45" xfId="14" applyNumberFormat="1" applyFont="1" applyFill="1" applyBorder="1" applyAlignment="1">
      <alignment horizontal="right" vertical="center" wrapText="1"/>
    </xf>
    <xf numFmtId="3" fontId="16" fillId="5" borderId="2" xfId="14" applyNumberFormat="1" applyFont="1" applyFill="1" applyBorder="1" applyAlignment="1">
      <alignment vertical="center"/>
    </xf>
    <xf numFmtId="4" fontId="16" fillId="5" borderId="26" xfId="14" applyNumberFormat="1" applyFont="1" applyFill="1" applyBorder="1" applyAlignment="1">
      <alignment horizontal="right" vertical="center"/>
    </xf>
    <xf numFmtId="3" fontId="16" fillId="5" borderId="3" xfId="14" applyNumberFormat="1" applyFont="1" applyFill="1" applyBorder="1" applyAlignment="1">
      <alignment vertical="center"/>
    </xf>
    <xf numFmtId="4" fontId="16" fillId="5" borderId="9" xfId="14" applyNumberFormat="1" applyFont="1" applyFill="1" applyBorder="1" applyAlignment="1">
      <alignment horizontal="right" vertical="center"/>
    </xf>
    <xf numFmtId="166" fontId="16" fillId="5" borderId="2" xfId="15" applyNumberFormat="1" applyFont="1" applyFill="1" applyBorder="1" applyAlignment="1">
      <alignment horizontal="right" vertical="center"/>
    </xf>
    <xf numFmtId="166" fontId="16" fillId="5" borderId="41" xfId="14" applyNumberFormat="1" applyFont="1" applyFill="1" applyBorder="1" applyAlignment="1">
      <alignment horizontal="right" vertical="center" wrapText="1"/>
    </xf>
    <xf numFmtId="0" fontId="16" fillId="5" borderId="2" xfId="14" applyFont="1" applyFill="1" applyBorder="1" applyAlignment="1">
      <alignment horizontal="center" vertical="center" wrapText="1"/>
    </xf>
    <xf numFmtId="3" fontId="16" fillId="5" borderId="13" xfId="14" applyNumberFormat="1" applyFont="1" applyFill="1" applyBorder="1" applyAlignment="1">
      <alignment vertical="center"/>
    </xf>
    <xf numFmtId="4" fontId="16" fillId="5" borderId="25" xfId="14" applyNumberFormat="1" applyFont="1" applyFill="1" applyBorder="1" applyAlignment="1">
      <alignment horizontal="right" vertical="center"/>
    </xf>
    <xf numFmtId="4" fontId="16" fillId="5" borderId="22" xfId="14" applyNumberFormat="1" applyFont="1" applyFill="1" applyBorder="1" applyAlignment="1">
      <alignment horizontal="right" vertical="center"/>
    </xf>
    <xf numFmtId="4" fontId="16" fillId="5" borderId="8" xfId="14" applyNumberFormat="1" applyFont="1" applyFill="1" applyBorder="1" applyAlignment="1">
      <alignment horizontal="right" vertical="center"/>
    </xf>
    <xf numFmtId="0" fontId="16" fillId="0" borderId="54" xfId="14" applyFont="1" applyBorder="1" applyAlignment="1">
      <alignment horizontal="center" vertical="center"/>
    </xf>
    <xf numFmtId="3" fontId="16" fillId="0" borderId="32" xfId="14" applyNumberFormat="1" applyFont="1" applyBorder="1" applyAlignment="1">
      <alignment vertical="center"/>
    </xf>
    <xf numFmtId="4" fontId="16" fillId="0" borderId="39" xfId="14" applyNumberFormat="1" applyFont="1" applyBorder="1" applyAlignment="1">
      <alignment vertical="center"/>
    </xf>
    <xf numFmtId="3" fontId="16" fillId="0" borderId="67" xfId="14" applyNumberFormat="1" applyFont="1" applyBorder="1" applyAlignment="1">
      <alignment vertical="center"/>
    </xf>
    <xf numFmtId="4" fontId="16" fillId="0" borderId="35" xfId="14" applyNumberFormat="1" applyFont="1" applyBorder="1" applyAlignment="1">
      <alignment horizontal="right" vertical="center"/>
    </xf>
    <xf numFmtId="4" fontId="16" fillId="0" borderId="76" xfId="14" applyNumberFormat="1" applyFont="1" applyBorder="1" applyAlignment="1">
      <alignment horizontal="right" vertical="center"/>
    </xf>
    <xf numFmtId="0" fontId="16" fillId="0" borderId="47" xfId="14" applyFont="1" applyBorder="1" applyAlignment="1">
      <alignment horizontal="center" vertical="center"/>
    </xf>
    <xf numFmtId="0" fontId="16" fillId="0" borderId="1" xfId="14" applyFont="1" applyBorder="1" applyAlignment="1">
      <alignment vertical="center"/>
    </xf>
    <xf numFmtId="4" fontId="16" fillId="0" borderId="52" xfId="14" applyNumberFormat="1" applyFont="1" applyBorder="1" applyAlignment="1">
      <alignment vertical="center"/>
    </xf>
    <xf numFmtId="4" fontId="16" fillId="0" borderId="39" xfId="14" applyNumberFormat="1" applyFont="1" applyBorder="1" applyAlignment="1">
      <alignment horizontal="right" vertical="center"/>
    </xf>
    <xf numFmtId="4" fontId="16" fillId="0" borderId="77" xfId="14" applyNumberFormat="1" applyFont="1" applyBorder="1" applyAlignment="1">
      <alignment horizontal="right" vertical="center"/>
    </xf>
    <xf numFmtId="3" fontId="16" fillId="0" borderId="4" xfId="14" applyNumberFormat="1" applyFont="1" applyBorder="1" applyAlignment="1">
      <alignment vertical="center"/>
    </xf>
    <xf numFmtId="0" fontId="16" fillId="0" borderId="45" xfId="21" applyFont="1" applyBorder="1" applyAlignment="1">
      <alignment vertical="center" wrapText="1"/>
    </xf>
    <xf numFmtId="0" fontId="16" fillId="0" borderId="41" xfId="21" applyFont="1" applyBorder="1" applyAlignment="1">
      <alignment vertical="center" wrapText="1"/>
    </xf>
    <xf numFmtId="4" fontId="16" fillId="0" borderId="9" xfId="14" applyNumberFormat="1" applyFont="1" applyBorder="1" applyAlignment="1">
      <alignment vertical="center"/>
    </xf>
    <xf numFmtId="0" fontId="16" fillId="0" borderId="2" xfId="21" applyFont="1" applyBorder="1" applyAlignment="1">
      <alignment horizontal="center" vertical="center"/>
    </xf>
    <xf numFmtId="4" fontId="16" fillId="0" borderId="23" xfId="14" applyNumberFormat="1" applyFont="1" applyBorder="1" applyAlignment="1">
      <alignment vertical="center"/>
    </xf>
    <xf numFmtId="4" fontId="16" fillId="0" borderId="75" xfId="14" applyNumberFormat="1" applyFont="1" applyBorder="1" applyAlignment="1">
      <alignment horizontal="right" vertical="center"/>
    </xf>
    <xf numFmtId="4" fontId="16" fillId="0" borderId="17" xfId="14" applyNumberFormat="1" applyFont="1" applyBorder="1" applyAlignment="1">
      <alignment horizontal="right" vertical="center"/>
    </xf>
    <xf numFmtId="4" fontId="16" fillId="0" borderId="37" xfId="14" applyNumberFormat="1" applyFont="1" applyBorder="1" applyAlignment="1">
      <alignment horizontal="right" vertical="center"/>
    </xf>
    <xf numFmtId="4" fontId="16" fillId="0" borderId="23" xfId="14" applyNumberFormat="1" applyFont="1" applyBorder="1" applyAlignment="1">
      <alignment horizontal="right" vertical="center"/>
    </xf>
    <xf numFmtId="4" fontId="16" fillId="0" borderId="7" xfId="14" applyNumberFormat="1" applyFont="1" applyBorder="1" applyAlignment="1">
      <alignment vertical="center"/>
    </xf>
    <xf numFmtId="4" fontId="16" fillId="0" borderId="25" xfId="14" applyNumberFormat="1" applyFont="1" applyBorder="1" applyAlignment="1">
      <alignment vertical="center"/>
    </xf>
    <xf numFmtId="0" fontId="17" fillId="0" borderId="2" xfId="14" applyFont="1" applyBorder="1" applyAlignment="1">
      <alignment horizontal="center" vertical="center"/>
    </xf>
    <xf numFmtId="3" fontId="16" fillId="0" borderId="60" xfId="14" applyNumberFormat="1" applyFont="1" applyBorder="1" applyAlignment="1">
      <alignment horizontal="right" vertical="center"/>
    </xf>
    <xf numFmtId="4" fontId="16" fillId="0" borderId="29" xfId="14" applyNumberFormat="1" applyFont="1" applyBorder="1" applyAlignment="1">
      <alignment horizontal="right" vertical="center"/>
    </xf>
    <xf numFmtId="4" fontId="16" fillId="0" borderId="0" xfId="14" applyNumberFormat="1" applyFont="1" applyAlignment="1">
      <alignment horizontal="right" vertical="center"/>
    </xf>
    <xf numFmtId="4" fontId="16" fillId="0" borderId="21" xfId="15" applyNumberFormat="1" applyFont="1" applyBorder="1" applyAlignment="1">
      <alignment vertical="center"/>
    </xf>
    <xf numFmtId="4" fontId="16" fillId="0" borderId="63" xfId="14" applyNumberFormat="1" applyFont="1" applyBorder="1" applyAlignment="1">
      <alignment horizontal="right" vertical="center"/>
    </xf>
    <xf numFmtId="4" fontId="16" fillId="0" borderId="49" xfId="14" applyNumberFormat="1" applyFont="1" applyBorder="1" applyAlignment="1">
      <alignment horizontal="right" vertical="center"/>
    </xf>
    <xf numFmtId="4" fontId="16" fillId="0" borderId="69" xfId="14" applyNumberFormat="1" applyFont="1" applyBorder="1" applyAlignment="1">
      <alignment horizontal="right" vertical="center"/>
    </xf>
    <xf numFmtId="166" fontId="16" fillId="0" borderId="41" xfId="15" applyNumberFormat="1" applyFont="1" applyBorder="1" applyAlignment="1">
      <alignment horizontal="right" vertical="center" wrapText="1"/>
    </xf>
    <xf numFmtId="3" fontId="16" fillId="0" borderId="49" xfId="14" applyNumberFormat="1" applyFont="1" applyBorder="1" applyAlignment="1">
      <alignment vertical="center"/>
    </xf>
    <xf numFmtId="0" fontId="23" fillId="5" borderId="17" xfId="14" applyFont="1" applyFill="1" applyBorder="1" applyAlignment="1">
      <alignment vertical="center" wrapText="1"/>
    </xf>
    <xf numFmtId="4" fontId="40" fillId="7" borderId="2" xfId="0" applyNumberFormat="1" applyFont="1" applyFill="1" applyBorder="1" applyAlignment="1">
      <alignment vertical="center"/>
    </xf>
    <xf numFmtId="4" fontId="40" fillId="7" borderId="41" xfId="0" applyNumberFormat="1" applyFont="1" applyFill="1" applyBorder="1" applyAlignment="1">
      <alignment vertical="center"/>
    </xf>
    <xf numFmtId="4" fontId="40" fillId="7" borderId="8" xfId="0" applyNumberFormat="1" applyFont="1" applyFill="1" applyBorder="1" applyAlignment="1">
      <alignment vertical="center"/>
    </xf>
    <xf numFmtId="4" fontId="41" fillId="3" borderId="12" xfId="0" applyNumberFormat="1" applyFont="1" applyFill="1" applyBorder="1" applyAlignment="1">
      <alignment vertical="center"/>
    </xf>
    <xf numFmtId="4" fontId="42" fillId="7" borderId="2" xfId="0" applyNumberFormat="1" applyFont="1" applyFill="1" applyBorder="1" applyAlignment="1">
      <alignment vertical="center"/>
    </xf>
    <xf numFmtId="4" fontId="42" fillId="7" borderId="41" xfId="0" applyNumberFormat="1" applyFont="1" applyFill="1" applyBorder="1" applyAlignment="1">
      <alignment vertical="center"/>
    </xf>
    <xf numFmtId="4" fontId="42" fillId="7" borderId="8" xfId="0" applyNumberFormat="1" applyFont="1" applyFill="1" applyBorder="1" applyAlignment="1">
      <alignment vertical="center"/>
    </xf>
    <xf numFmtId="4" fontId="43" fillId="3" borderId="12" xfId="0" applyNumberFormat="1" applyFont="1" applyFill="1" applyBorder="1" applyAlignment="1">
      <alignment vertical="center"/>
    </xf>
    <xf numFmtId="0" fontId="13" fillId="0" borderId="2" xfId="14" applyFont="1" applyBorder="1" applyAlignment="1">
      <alignment horizontal="center" vertical="center"/>
    </xf>
    <xf numFmtId="3" fontId="13" fillId="0" borderId="0" xfId="0" applyNumberFormat="1" applyFont="1" applyAlignment="1">
      <alignment vertical="center"/>
    </xf>
    <xf numFmtId="0" fontId="14" fillId="0" borderId="0" xfId="0" applyFont="1" applyAlignment="1">
      <alignment vertical="center"/>
    </xf>
    <xf numFmtId="3" fontId="13" fillId="0" borderId="0" xfId="0" applyNumberFormat="1" applyFont="1" applyAlignment="1">
      <alignment horizontal="right" vertical="center"/>
    </xf>
    <xf numFmtId="3" fontId="16" fillId="6" borderId="10" xfId="1" applyNumberFormat="1" applyFont="1" applyFill="1" applyBorder="1" applyAlignment="1">
      <alignment horizontal="center" vertical="center" wrapText="1"/>
    </xf>
    <xf numFmtId="3" fontId="16" fillId="0" borderId="0" xfId="1" applyNumberFormat="1" applyFont="1" applyAlignment="1">
      <alignment horizontal="center" vertical="center" wrapText="1"/>
    </xf>
    <xf numFmtId="169" fontId="17" fillId="0" borderId="0" xfId="0" applyNumberFormat="1" applyFont="1" applyAlignment="1">
      <alignment horizontal="right" vertical="center"/>
    </xf>
    <xf numFmtId="169" fontId="17" fillId="0" borderId="0" xfId="0" applyNumberFormat="1" applyFont="1" applyAlignment="1">
      <alignment vertical="center"/>
    </xf>
    <xf numFmtId="3" fontId="11" fillId="0" borderId="0" xfId="0" applyNumberFormat="1" applyFont="1" applyAlignment="1">
      <alignment horizontal="left" vertical="center"/>
    </xf>
    <xf numFmtId="3" fontId="11" fillId="0" borderId="0" xfId="0" applyNumberFormat="1" applyFont="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vertical="center"/>
    </xf>
    <xf numFmtId="0" fontId="20" fillId="0" borderId="0" xfId="1" applyFont="1" applyAlignment="1">
      <alignment vertical="center" wrapText="1"/>
    </xf>
    <xf numFmtId="3" fontId="20" fillId="0" borderId="0" xfId="1" applyNumberFormat="1" applyFont="1" applyAlignment="1">
      <alignment vertical="center"/>
    </xf>
    <xf numFmtId="3" fontId="14" fillId="0" borderId="0" xfId="0" applyNumberFormat="1" applyFont="1" applyAlignment="1">
      <alignment vertical="center"/>
    </xf>
    <xf numFmtId="0" fontId="12" fillId="0" borderId="0" xfId="0" applyFont="1" applyAlignment="1">
      <alignment vertical="center"/>
    </xf>
    <xf numFmtId="4" fontId="12" fillId="0" borderId="0" xfId="0" applyNumberFormat="1" applyFont="1" applyAlignment="1">
      <alignment vertical="center"/>
    </xf>
    <xf numFmtId="3" fontId="16" fillId="0" borderId="0" xfId="0" applyNumberFormat="1" applyFont="1" applyAlignment="1">
      <alignment horizontal="center" vertical="center"/>
    </xf>
    <xf numFmtId="4" fontId="16" fillId="0" borderId="0" xfId="0" applyNumberFormat="1" applyFont="1" applyAlignment="1">
      <alignment vertical="center"/>
    </xf>
    <xf numFmtId="3" fontId="17" fillId="0" borderId="0" xfId="0" applyNumberFormat="1" applyFont="1" applyAlignment="1">
      <alignment vertical="center"/>
    </xf>
    <xf numFmtId="3" fontId="12" fillId="0" borderId="0" xfId="0" applyNumberFormat="1" applyFont="1" applyAlignment="1">
      <alignment vertical="center"/>
    </xf>
    <xf numFmtId="4" fontId="11" fillId="0" borderId="0" xfId="1" applyNumberFormat="1" applyFont="1" applyAlignment="1">
      <alignment vertical="center"/>
    </xf>
    <xf numFmtId="0" fontId="16" fillId="0" borderId="17" xfId="14" applyFont="1" applyBorder="1" applyAlignment="1">
      <alignment vertical="center" wrapText="1"/>
    </xf>
    <xf numFmtId="0" fontId="16" fillId="0" borderId="75" xfId="14" applyFont="1" applyBorder="1" applyAlignment="1">
      <alignment vertical="center" wrapText="1"/>
    </xf>
    <xf numFmtId="0" fontId="16" fillId="0" borderId="70" xfId="14" applyFont="1" applyBorder="1" applyAlignment="1">
      <alignment vertical="center"/>
    </xf>
    <xf numFmtId="0" fontId="16" fillId="0" borderId="0" xfId="14" applyFont="1" applyAlignment="1">
      <alignment horizontal="left" vertical="center"/>
    </xf>
    <xf numFmtId="0" fontId="13" fillId="0" borderId="13" xfId="14" applyFont="1" applyBorder="1" applyAlignment="1">
      <alignment horizontal="center" vertical="center"/>
    </xf>
    <xf numFmtId="0" fontId="13" fillId="0" borderId="3" xfId="14" applyFont="1" applyBorder="1" applyAlignment="1">
      <alignment horizontal="center" vertical="center"/>
    </xf>
    <xf numFmtId="0" fontId="13" fillId="0" borderId="58" xfId="14" applyFont="1" applyBorder="1" applyAlignment="1">
      <alignment horizontal="center" vertical="center"/>
    </xf>
    <xf numFmtId="0" fontId="23" fillId="0" borderId="47" xfId="14" applyFont="1" applyBorder="1" applyAlignment="1">
      <alignment horizontal="right" vertical="center" wrapText="1"/>
    </xf>
    <xf numFmtId="165" fontId="16" fillId="0" borderId="1" xfId="15" applyNumberFormat="1" applyFont="1" applyBorder="1" applyAlignment="1">
      <alignment horizontal="right" vertical="center"/>
    </xf>
    <xf numFmtId="165" fontId="16" fillId="0" borderId="45" xfId="14" applyNumberFormat="1" applyFont="1" applyBorder="1" applyAlignment="1">
      <alignment horizontal="right" vertical="center" wrapText="1"/>
    </xf>
    <xf numFmtId="165" fontId="13" fillId="0" borderId="2" xfId="15" applyNumberFormat="1" applyFont="1" applyBorder="1" applyAlignment="1">
      <alignment horizontal="right" vertical="center"/>
    </xf>
    <xf numFmtId="165" fontId="13" fillId="0" borderId="41" xfId="14" applyNumberFormat="1" applyFont="1" applyBorder="1" applyAlignment="1">
      <alignment horizontal="right" vertical="center" wrapText="1"/>
    </xf>
    <xf numFmtId="165" fontId="23" fillId="0" borderId="2" xfId="15" applyNumberFormat="1" applyFont="1" applyBorder="1" applyAlignment="1">
      <alignment horizontal="right" vertical="center"/>
    </xf>
    <xf numFmtId="165" fontId="23" fillId="0" borderId="41" xfId="14" applyNumberFormat="1" applyFont="1" applyBorder="1" applyAlignment="1">
      <alignment horizontal="right" vertical="center" wrapText="1"/>
    </xf>
    <xf numFmtId="165" fontId="16" fillId="0" borderId="13" xfId="15" applyNumberFormat="1" applyFont="1" applyBorder="1" applyAlignment="1">
      <alignment horizontal="right" vertical="center"/>
    </xf>
    <xf numFmtId="165" fontId="16" fillId="0" borderId="42" xfId="14" applyNumberFormat="1" applyFont="1" applyBorder="1" applyAlignment="1">
      <alignment horizontal="right" vertical="center" wrapText="1"/>
    </xf>
    <xf numFmtId="165" fontId="16" fillId="0" borderId="2" xfId="15" applyNumberFormat="1" applyFont="1" applyBorder="1" applyAlignment="1">
      <alignment horizontal="right" vertical="center"/>
    </xf>
    <xf numFmtId="165" fontId="16" fillId="0" borderId="41" xfId="14" applyNumberFormat="1" applyFont="1" applyBorder="1" applyAlignment="1">
      <alignment horizontal="right" vertical="center" wrapText="1"/>
    </xf>
    <xf numFmtId="165" fontId="16" fillId="6" borderId="48" xfId="15" applyNumberFormat="1" applyFont="1" applyFill="1" applyBorder="1" applyAlignment="1">
      <alignment horizontal="right" vertical="center"/>
    </xf>
    <xf numFmtId="165" fontId="16" fillId="6" borderId="16" xfId="14" applyNumberFormat="1" applyFont="1" applyFill="1" applyBorder="1" applyAlignment="1">
      <alignment horizontal="right" vertical="center" wrapText="1"/>
    </xf>
    <xf numFmtId="3" fontId="16" fillId="6" borderId="5" xfId="14" applyNumberFormat="1" applyFont="1" applyFill="1" applyBorder="1" applyAlignment="1">
      <alignment horizontal="right" vertical="center"/>
    </xf>
    <xf numFmtId="4" fontId="16" fillId="6" borderId="48" xfId="14" applyNumberFormat="1" applyFont="1" applyFill="1" applyBorder="1" applyAlignment="1">
      <alignment horizontal="right" vertical="center"/>
    </xf>
    <xf numFmtId="3" fontId="16" fillId="0" borderId="0" xfId="14" applyNumberFormat="1" applyFont="1" applyAlignment="1">
      <alignment horizontal="left" vertical="center" wrapText="1"/>
    </xf>
    <xf numFmtId="0" fontId="16" fillId="0" borderId="0" xfId="14" applyFont="1" applyAlignment="1">
      <alignment horizontal="left" vertical="center" wrapText="1"/>
    </xf>
    <xf numFmtId="166" fontId="16" fillId="5" borderId="13" xfId="15" applyNumberFormat="1" applyFont="1" applyFill="1" applyBorder="1" applyAlignment="1">
      <alignment horizontal="right" vertical="center"/>
    </xf>
    <xf numFmtId="166" fontId="16" fillId="5" borderId="42" xfId="14" applyNumberFormat="1" applyFont="1" applyFill="1" applyBorder="1" applyAlignment="1">
      <alignment horizontal="right" vertical="center" wrapText="1"/>
    </xf>
    <xf numFmtId="4" fontId="23" fillId="5" borderId="22" xfId="14" applyNumberFormat="1" applyFont="1" applyFill="1" applyBorder="1" applyAlignment="1">
      <alignment horizontal="right" vertical="center"/>
    </xf>
    <xf numFmtId="0" fontId="13" fillId="5" borderId="2" xfId="14" applyFont="1" applyFill="1" applyBorder="1" applyAlignment="1">
      <alignment horizontal="center" vertical="center" wrapText="1"/>
    </xf>
    <xf numFmtId="4" fontId="13" fillId="0" borderId="70" xfId="0" applyNumberFormat="1" applyFont="1" applyBorder="1" applyAlignment="1">
      <alignment vertical="center"/>
    </xf>
    <xf numFmtId="3" fontId="13" fillId="0" borderId="2" xfId="14" applyNumberFormat="1" applyFont="1" applyBorder="1" applyAlignment="1">
      <alignment horizontal="right" vertical="center"/>
    </xf>
    <xf numFmtId="0" fontId="23" fillId="0" borderId="9" xfId="14" applyFont="1" applyBorder="1" applyAlignment="1">
      <alignment horizontal="center" vertical="top"/>
    </xf>
    <xf numFmtId="0" fontId="16" fillId="7" borderId="56" xfId="0" applyFont="1" applyFill="1" applyBorder="1" applyAlignment="1">
      <alignment vertical="center" wrapText="1"/>
    </xf>
    <xf numFmtId="4" fontId="16" fillId="7" borderId="5" xfId="0" applyNumberFormat="1" applyFont="1" applyFill="1" applyBorder="1" applyAlignment="1">
      <alignment vertical="center"/>
    </xf>
    <xf numFmtId="4" fontId="16" fillId="7" borderId="16" xfId="0" applyNumberFormat="1" applyFont="1" applyFill="1" applyBorder="1" applyAlignment="1">
      <alignment vertical="center"/>
    </xf>
    <xf numFmtId="4" fontId="16" fillId="7" borderId="6" xfId="0" applyNumberFormat="1" applyFont="1" applyFill="1" applyBorder="1" applyAlignment="1">
      <alignment vertical="center"/>
    </xf>
    <xf numFmtId="165" fontId="15" fillId="7" borderId="10" xfId="0" applyNumberFormat="1" applyFont="1" applyFill="1" applyBorder="1" applyAlignment="1">
      <alignment horizontal="right" vertical="center"/>
    </xf>
    <xf numFmtId="0" fontId="16" fillId="8" borderId="56" xfId="0" applyFont="1" applyFill="1" applyBorder="1" applyAlignment="1">
      <alignment vertical="center" wrapText="1"/>
    </xf>
    <xf numFmtId="4" fontId="16" fillId="8" borderId="5" xfId="0" applyNumberFormat="1" applyFont="1" applyFill="1" applyBorder="1" applyAlignment="1">
      <alignment vertical="center"/>
    </xf>
    <xf numFmtId="4" fontId="16" fillId="8" borderId="16" xfId="0" applyNumberFormat="1" applyFont="1" applyFill="1" applyBorder="1" applyAlignment="1">
      <alignment vertical="center"/>
    </xf>
    <xf numFmtId="4" fontId="16" fillId="8" borderId="6" xfId="0" applyNumberFormat="1" applyFont="1" applyFill="1" applyBorder="1" applyAlignment="1">
      <alignment vertical="center"/>
    </xf>
    <xf numFmtId="165" fontId="15" fillId="8" borderId="10" xfId="0" applyNumberFormat="1" applyFont="1" applyFill="1" applyBorder="1" applyAlignment="1">
      <alignment horizontal="right" vertical="center"/>
    </xf>
    <xf numFmtId="3" fontId="16" fillId="0" borderId="49" xfId="14" applyNumberFormat="1" applyFont="1" applyBorder="1" applyAlignment="1">
      <alignment horizontal="right" vertical="center"/>
    </xf>
    <xf numFmtId="4" fontId="13" fillId="0" borderId="0" xfId="1" applyNumberFormat="1" applyFont="1" applyAlignment="1">
      <alignment vertical="center"/>
    </xf>
    <xf numFmtId="0" fontId="16" fillId="0" borderId="13" xfId="14" applyFont="1" applyBorder="1" applyAlignment="1">
      <alignment horizontal="center" vertical="center"/>
    </xf>
    <xf numFmtId="0" fontId="23" fillId="0" borderId="22" xfId="14" applyFont="1" applyBorder="1" applyAlignment="1">
      <alignment vertical="center" wrapText="1"/>
    </xf>
    <xf numFmtId="3" fontId="17" fillId="0" borderId="58" xfId="0" applyNumberFormat="1" applyFont="1" applyBorder="1" applyAlignment="1">
      <alignment vertical="center"/>
    </xf>
    <xf numFmtId="3" fontId="17" fillId="0" borderId="47" xfId="0" applyNumberFormat="1" applyFont="1" applyBorder="1" applyAlignment="1">
      <alignment vertical="center"/>
    </xf>
    <xf numFmtId="3" fontId="17" fillId="0" borderId="59" xfId="0" applyNumberFormat="1" applyFont="1" applyBorder="1" applyAlignment="1">
      <alignment vertical="center"/>
    </xf>
    <xf numFmtId="0" fontId="16" fillId="0" borderId="22" xfId="14" applyFont="1" applyBorder="1" applyAlignment="1">
      <alignment vertical="center" wrapText="1"/>
    </xf>
    <xf numFmtId="0" fontId="16" fillId="0" borderId="75" xfId="14" applyFont="1" applyBorder="1" applyAlignment="1">
      <alignment vertical="center"/>
    </xf>
    <xf numFmtId="0" fontId="16" fillId="0" borderId="37" xfId="14" applyFont="1" applyBorder="1" applyAlignment="1">
      <alignment vertical="center"/>
    </xf>
    <xf numFmtId="0" fontId="16" fillId="5" borderId="13" xfId="14" applyFont="1" applyFill="1" applyBorder="1" applyAlignment="1">
      <alignment horizontal="center" vertical="center"/>
    </xf>
    <xf numFmtId="0" fontId="16" fillId="6" borderId="65" xfId="14" applyFont="1" applyFill="1" applyBorder="1" applyAlignment="1">
      <alignment vertical="center"/>
    </xf>
    <xf numFmtId="0" fontId="23" fillId="0" borderId="22" xfId="14" applyFont="1" applyBorder="1" applyAlignment="1">
      <alignment vertical="center"/>
    </xf>
    <xf numFmtId="0" fontId="23" fillId="0" borderId="2" xfId="14" applyFont="1" applyBorder="1" applyAlignment="1">
      <alignment horizontal="right" vertical="center" wrapText="1"/>
    </xf>
    <xf numFmtId="0" fontId="16" fillId="0" borderId="69" xfId="14" applyFont="1" applyBorder="1" applyAlignment="1">
      <alignment vertical="center" wrapText="1"/>
    </xf>
    <xf numFmtId="0" fontId="23" fillId="0" borderId="17" xfId="14" applyFont="1" applyBorder="1" applyAlignment="1">
      <alignment vertical="center" wrapText="1"/>
    </xf>
    <xf numFmtId="0" fontId="23" fillId="5" borderId="22" xfId="14" applyFont="1" applyFill="1" applyBorder="1" applyAlignment="1">
      <alignment vertical="center" wrapText="1"/>
    </xf>
    <xf numFmtId="4" fontId="40" fillId="8" borderId="2" xfId="0" applyNumberFormat="1" applyFont="1" applyFill="1" applyBorder="1" applyAlignment="1">
      <alignment vertical="center"/>
    </xf>
    <xf numFmtId="4" fontId="40" fillId="8" borderId="41" xfId="0" applyNumberFormat="1" applyFont="1" applyFill="1" applyBorder="1" applyAlignment="1">
      <alignment vertical="center"/>
    </xf>
    <xf numFmtId="4" fontId="40" fillId="8" borderId="8" xfId="0" applyNumberFormat="1" applyFont="1" applyFill="1" applyBorder="1" applyAlignment="1">
      <alignment vertical="center"/>
    </xf>
    <xf numFmtId="4" fontId="42" fillId="8" borderId="2" xfId="0" applyNumberFormat="1" applyFont="1" applyFill="1" applyBorder="1" applyAlignment="1">
      <alignment vertical="center"/>
    </xf>
    <xf numFmtId="4" fontId="42" fillId="8" borderId="41" xfId="0" applyNumberFormat="1" applyFont="1" applyFill="1" applyBorder="1" applyAlignment="1">
      <alignment vertical="center"/>
    </xf>
    <xf numFmtId="4" fontId="42" fillId="8" borderId="8" xfId="0" applyNumberFormat="1" applyFont="1" applyFill="1" applyBorder="1" applyAlignment="1">
      <alignment vertical="center"/>
    </xf>
    <xf numFmtId="4" fontId="17" fillId="3" borderId="62" xfId="0" applyNumberFormat="1" applyFont="1" applyFill="1" applyBorder="1" applyAlignment="1">
      <alignment vertical="center"/>
    </xf>
    <xf numFmtId="0" fontId="23" fillId="5" borderId="2" xfId="14" applyFont="1" applyFill="1" applyBorder="1" applyAlignment="1">
      <alignment horizontal="right" vertical="center"/>
    </xf>
    <xf numFmtId="49" fontId="13" fillId="0" borderId="3" xfId="0" applyNumberFormat="1" applyFont="1" applyBorder="1" applyAlignment="1">
      <alignment horizontal="center" vertical="center"/>
    </xf>
    <xf numFmtId="4" fontId="16" fillId="0" borderId="38" xfId="14" applyNumberFormat="1" applyFont="1" applyBorder="1" applyAlignment="1">
      <alignment horizontal="right" vertical="center"/>
    </xf>
    <xf numFmtId="4" fontId="12" fillId="0" borderId="0" xfId="14" applyNumberFormat="1" applyFont="1" applyAlignment="1">
      <alignment vertical="center"/>
    </xf>
    <xf numFmtId="4" fontId="17" fillId="0" borderId="0" xfId="14" applyNumberFormat="1" applyFont="1" applyAlignment="1">
      <alignment vertical="center"/>
    </xf>
    <xf numFmtId="4" fontId="17" fillId="0" borderId="0" xfId="14" applyNumberFormat="1" applyFont="1" applyAlignment="1">
      <alignment horizontal="right" vertical="center"/>
    </xf>
    <xf numFmtId="4" fontId="17" fillId="0" borderId="0" xfId="20" applyNumberFormat="1" applyFont="1" applyAlignment="1">
      <alignment horizontal="right" vertical="center"/>
    </xf>
    <xf numFmtId="49" fontId="13" fillId="0" borderId="8" xfId="14" applyNumberFormat="1" applyFont="1" applyBorder="1" applyAlignment="1">
      <alignment horizontal="center" vertical="center"/>
    </xf>
    <xf numFmtId="166" fontId="15" fillId="5" borderId="0" xfId="14" applyNumberFormat="1" applyFont="1" applyFill="1" applyAlignment="1">
      <alignment horizontal="right" vertical="center"/>
    </xf>
    <xf numFmtId="3" fontId="23" fillId="0" borderId="0" xfId="14" applyNumberFormat="1" applyFont="1" applyAlignment="1">
      <alignment vertical="center"/>
    </xf>
    <xf numFmtId="0" fontId="16" fillId="0" borderId="8" xfId="14" applyFont="1" applyBorder="1" applyAlignment="1">
      <alignment vertical="center"/>
    </xf>
    <xf numFmtId="0" fontId="11" fillId="0" borderId="0" xfId="14" applyFont="1" applyAlignment="1">
      <alignment vertical="center" wrapText="1"/>
    </xf>
    <xf numFmtId="0" fontId="23" fillId="0" borderId="50" xfId="14" applyFont="1" applyBorder="1" applyAlignment="1">
      <alignment vertical="center"/>
    </xf>
    <xf numFmtId="0" fontId="23" fillId="0" borderId="70" xfId="14" applyFont="1" applyBorder="1" applyAlignment="1">
      <alignment vertical="center"/>
    </xf>
    <xf numFmtId="0" fontId="27" fillId="0" borderId="0" xfId="14" applyFont="1" applyAlignment="1">
      <alignment vertical="center"/>
    </xf>
    <xf numFmtId="166" fontId="17" fillId="0" borderId="0" xfId="15" applyNumberFormat="1" applyFont="1" applyAlignment="1">
      <alignment horizontal="right" vertical="center"/>
    </xf>
    <xf numFmtId="3" fontId="11" fillId="0" borderId="0" xfId="0" applyNumberFormat="1" applyFont="1" applyAlignment="1">
      <alignment horizontal="center" vertical="center"/>
    </xf>
    <xf numFmtId="0" fontId="20" fillId="0" borderId="0" xfId="1" applyFont="1" applyAlignment="1">
      <alignment horizontal="left" vertical="center"/>
    </xf>
    <xf numFmtId="0" fontId="14" fillId="0" borderId="0" xfId="0" applyFont="1" applyAlignment="1">
      <alignment horizontal="left" vertical="center"/>
    </xf>
    <xf numFmtId="49" fontId="13" fillId="0" borderId="13"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38" xfId="0" applyNumberFormat="1" applyFont="1" applyBorder="1" applyAlignment="1">
      <alignment vertical="center"/>
    </xf>
    <xf numFmtId="14" fontId="11" fillId="0" borderId="0" xfId="0" applyNumberFormat="1" applyFont="1" applyAlignment="1">
      <alignment horizontal="center" vertical="center"/>
    </xf>
    <xf numFmtId="0" fontId="14" fillId="0" borderId="0" xfId="1" applyFont="1" applyAlignment="1">
      <alignment vertical="center" wrapText="1"/>
    </xf>
    <xf numFmtId="3" fontId="16" fillId="6" borderId="36" xfId="1" applyNumberFormat="1" applyFont="1" applyFill="1" applyBorder="1" applyAlignment="1">
      <alignment horizontal="center" vertical="center" wrapText="1"/>
    </xf>
    <xf numFmtId="0" fontId="11" fillId="0" borderId="0" xfId="0" applyFont="1" applyAlignment="1">
      <alignment horizontal="center" vertical="center"/>
    </xf>
    <xf numFmtId="0" fontId="16" fillId="0" borderId="42" xfId="21" applyFont="1" applyBorder="1" applyAlignment="1">
      <alignment vertical="center" wrapText="1"/>
    </xf>
    <xf numFmtId="4" fontId="16" fillId="0" borderId="57" xfId="14" applyNumberFormat="1" applyFont="1" applyBorder="1" applyAlignment="1">
      <alignment vertical="center"/>
    </xf>
    <xf numFmtId="4" fontId="16" fillId="0" borderId="29" xfId="14" applyNumberFormat="1" applyFont="1" applyBorder="1" applyAlignment="1">
      <alignment vertical="center"/>
    </xf>
    <xf numFmtId="4" fontId="16" fillId="0" borderId="27" xfId="14" applyNumberFormat="1" applyFont="1" applyBorder="1" applyAlignment="1">
      <alignment vertical="center"/>
    </xf>
    <xf numFmtId="166" fontId="16" fillId="0" borderId="42" xfId="20" applyNumberFormat="1" applyFont="1" applyBorder="1" applyAlignment="1">
      <alignment horizontal="right" vertical="center" wrapText="1"/>
    </xf>
    <xf numFmtId="166" fontId="16" fillId="0" borderId="13" xfId="20" applyNumberFormat="1" applyFont="1" applyBorder="1" applyAlignment="1">
      <alignment horizontal="right" vertical="center"/>
    </xf>
    <xf numFmtId="0" fontId="16" fillId="0" borderId="10" xfId="0" applyFont="1" applyBorder="1" applyAlignment="1">
      <alignment vertical="center"/>
    </xf>
    <xf numFmtId="4" fontId="16" fillId="0" borderId="48" xfId="0" applyNumberFormat="1" applyFont="1" applyBorder="1" applyAlignment="1">
      <alignment vertical="center"/>
    </xf>
    <xf numFmtId="4" fontId="12" fillId="0" borderId="0" xfId="1" applyNumberFormat="1" applyFont="1" applyAlignment="1">
      <alignment vertical="center"/>
    </xf>
    <xf numFmtId="165" fontId="17" fillId="0" borderId="0" xfId="1" applyNumberFormat="1" applyFont="1" applyAlignment="1">
      <alignment horizontal="right" vertical="center"/>
    </xf>
    <xf numFmtId="165" fontId="11" fillId="0" borderId="0" xfId="1" applyNumberFormat="1" applyFont="1" applyAlignment="1">
      <alignment vertical="center"/>
    </xf>
    <xf numFmtId="0" fontId="14" fillId="0" borderId="0" xfId="1" applyFont="1" applyAlignment="1">
      <alignment vertical="center"/>
    </xf>
    <xf numFmtId="0" fontId="16" fillId="0" borderId="0" xfId="1" applyFont="1" applyAlignment="1">
      <alignment vertical="center"/>
    </xf>
    <xf numFmtId="0" fontId="21" fillId="0" borderId="0" xfId="1" applyFont="1" applyAlignment="1">
      <alignment vertical="center"/>
    </xf>
    <xf numFmtId="165" fontId="13" fillId="0" borderId="0" xfId="1" applyNumberFormat="1" applyFont="1" applyAlignment="1">
      <alignment horizontal="right" vertical="center"/>
    </xf>
    <xf numFmtId="0" fontId="15" fillId="0" borderId="0" xfId="1" applyFont="1" applyAlignment="1">
      <alignment vertical="center"/>
    </xf>
    <xf numFmtId="14" fontId="11" fillId="0" borderId="0" xfId="1" applyNumberFormat="1" applyFont="1" applyAlignment="1">
      <alignment vertical="center"/>
    </xf>
    <xf numFmtId="49" fontId="11" fillId="0" borderId="0" xfId="0" applyNumberFormat="1" applyFont="1" applyAlignment="1">
      <alignment horizontal="right" vertical="center"/>
    </xf>
    <xf numFmtId="4" fontId="17" fillId="0" borderId="0" xfId="0" applyNumberFormat="1" applyFont="1" applyAlignment="1">
      <alignment horizontal="right" vertical="center"/>
    </xf>
    <xf numFmtId="0" fontId="35" fillId="0" borderId="0" xfId="0" applyFont="1" applyAlignment="1">
      <alignment vertical="center"/>
    </xf>
    <xf numFmtId="0" fontId="37" fillId="0" borderId="0" xfId="0" applyFont="1" applyAlignment="1">
      <alignment vertical="center"/>
    </xf>
    <xf numFmtId="0" fontId="36" fillId="0" borderId="0" xfId="0" applyFont="1" applyAlignment="1">
      <alignment vertical="center"/>
    </xf>
    <xf numFmtId="0" fontId="16" fillId="0" borderId="0" xfId="0" applyFont="1" applyAlignment="1">
      <alignment vertical="center" wrapText="1"/>
    </xf>
    <xf numFmtId="165" fontId="11" fillId="0" borderId="0" xfId="0" applyNumberFormat="1" applyFont="1" applyAlignment="1">
      <alignment vertical="center"/>
    </xf>
    <xf numFmtId="14" fontId="11" fillId="0" borderId="0" xfId="0" applyNumberFormat="1" applyFont="1" applyAlignment="1">
      <alignment vertical="center" wrapText="1"/>
    </xf>
    <xf numFmtId="0" fontId="22" fillId="0" borderId="0" xfId="1" applyFont="1" applyAlignment="1">
      <alignment vertical="center"/>
    </xf>
    <xf numFmtId="49" fontId="11" fillId="0" borderId="0" xfId="2" applyNumberFormat="1" applyFont="1" applyAlignment="1">
      <alignment horizontal="center" vertical="center"/>
    </xf>
    <xf numFmtId="0" fontId="11" fillId="0" borderId="0" xfId="2" applyFont="1" applyAlignment="1">
      <alignment vertical="center"/>
    </xf>
    <xf numFmtId="4" fontId="11" fillId="0" borderId="0" xfId="2" applyNumberFormat="1" applyFont="1" applyAlignment="1">
      <alignment vertical="center"/>
    </xf>
    <xf numFmtId="49" fontId="11" fillId="0" borderId="0" xfId="0" applyNumberFormat="1" applyFont="1" applyAlignment="1">
      <alignment vertical="center"/>
    </xf>
    <xf numFmtId="166" fontId="13" fillId="0" borderId="0" xfId="0" applyNumberFormat="1" applyFont="1" applyAlignment="1">
      <alignment horizontal="right" vertical="center"/>
    </xf>
    <xf numFmtId="14" fontId="20" fillId="0" borderId="0" xfId="1" applyNumberFormat="1" applyFont="1" applyAlignment="1">
      <alignment vertical="center"/>
    </xf>
    <xf numFmtId="14" fontId="11" fillId="0" borderId="0" xfId="0" applyNumberFormat="1" applyFont="1" applyAlignment="1">
      <alignment horizontal="left" vertical="center"/>
    </xf>
    <xf numFmtId="3" fontId="12" fillId="0" borderId="0" xfId="0" applyNumberFormat="1" applyFont="1" applyAlignment="1">
      <alignment horizontal="right" vertical="center"/>
    </xf>
    <xf numFmtId="4" fontId="12" fillId="0" borderId="0" xfId="0" applyNumberFormat="1" applyFont="1" applyAlignment="1">
      <alignment horizontal="right" vertical="center"/>
    </xf>
    <xf numFmtId="14" fontId="14" fillId="0" borderId="0" xfId="0" applyNumberFormat="1" applyFont="1" applyAlignment="1">
      <alignment vertical="center"/>
    </xf>
    <xf numFmtId="4" fontId="16" fillId="0" borderId="0" xfId="0" applyNumberFormat="1" applyFont="1" applyAlignment="1">
      <alignment horizontal="center" vertical="center"/>
    </xf>
    <xf numFmtId="165" fontId="16" fillId="0" borderId="0" xfId="0" applyNumberFormat="1" applyFont="1" applyAlignment="1">
      <alignment vertical="center"/>
    </xf>
    <xf numFmtId="4" fontId="11" fillId="0" borderId="0" xfId="0" applyNumberFormat="1" applyFont="1" applyAlignment="1">
      <alignment horizontal="right" vertical="center"/>
    </xf>
    <xf numFmtId="14" fontId="17" fillId="0" borderId="0" xfId="0" applyNumberFormat="1" applyFont="1" applyAlignment="1">
      <alignment vertical="center"/>
    </xf>
    <xf numFmtId="14" fontId="16" fillId="0" borderId="0" xfId="0" applyNumberFormat="1" applyFont="1" applyAlignment="1">
      <alignment vertical="center"/>
    </xf>
    <xf numFmtId="14" fontId="12" fillId="0" borderId="0" xfId="0" applyNumberFormat="1" applyFont="1" applyAlignment="1">
      <alignment vertical="center"/>
    </xf>
    <xf numFmtId="4" fontId="13" fillId="7" borderId="17" xfId="0" applyNumberFormat="1" applyFont="1" applyFill="1" applyBorder="1" applyAlignment="1">
      <alignment vertical="center"/>
    </xf>
    <xf numFmtId="49" fontId="13" fillId="0" borderId="5" xfId="2" applyNumberFormat="1" applyFont="1" applyBorder="1" applyAlignment="1">
      <alignment horizontal="center" vertical="center"/>
    </xf>
    <xf numFmtId="0" fontId="13" fillId="0" borderId="16" xfId="2" applyFont="1" applyBorder="1" applyAlignment="1">
      <alignment vertical="center" wrapText="1"/>
    </xf>
    <xf numFmtId="3" fontId="13" fillId="0" borderId="5" xfId="2" applyNumberFormat="1" applyFont="1" applyBorder="1" applyAlignment="1">
      <alignment vertical="center"/>
    </xf>
    <xf numFmtId="4" fontId="13" fillId="0" borderId="16" xfId="2" applyNumberFormat="1" applyFont="1" applyBorder="1" applyAlignment="1">
      <alignment vertical="center"/>
    </xf>
    <xf numFmtId="4" fontId="13" fillId="0" borderId="6" xfId="2" applyNumberFormat="1" applyFont="1" applyBorder="1" applyAlignment="1">
      <alignment vertical="center"/>
    </xf>
    <xf numFmtId="166" fontId="13" fillId="0" borderId="24" xfId="0" applyNumberFormat="1" applyFont="1" applyBorder="1" applyAlignment="1">
      <alignment horizontal="right" vertical="center"/>
    </xf>
    <xf numFmtId="0" fontId="17" fillId="0" borderId="47" xfId="0" applyFont="1" applyBorder="1" applyAlignment="1">
      <alignment vertical="center"/>
    </xf>
    <xf numFmtId="0" fontId="17" fillId="0" borderId="47" xfId="0" applyFont="1" applyBorder="1" applyAlignment="1">
      <alignment vertical="center" wrapText="1"/>
    </xf>
    <xf numFmtId="0" fontId="7" fillId="0" borderId="0" xfId="0" applyFont="1" applyAlignment="1">
      <alignment vertical="center"/>
    </xf>
    <xf numFmtId="4" fontId="7" fillId="0" borderId="0" xfId="0" applyNumberFormat="1" applyFont="1" applyAlignment="1">
      <alignment vertical="center"/>
    </xf>
    <xf numFmtId="169" fontId="7" fillId="0" borderId="0" xfId="0" applyNumberFormat="1" applyFont="1" applyAlignment="1">
      <alignment vertical="center"/>
    </xf>
    <xf numFmtId="49" fontId="13" fillId="0" borderId="38" xfId="0" applyNumberFormat="1" applyFont="1" applyBorder="1" applyAlignment="1">
      <alignment vertical="center" wrapText="1"/>
    </xf>
    <xf numFmtId="165" fontId="16" fillId="6" borderId="16" xfId="14" applyNumberFormat="1" applyFont="1" applyFill="1" applyBorder="1" applyAlignment="1">
      <alignment vertical="center"/>
    </xf>
    <xf numFmtId="0" fontId="11" fillId="0" borderId="60" xfId="0" applyFont="1" applyBorder="1" applyAlignment="1">
      <alignment vertical="center" wrapText="1"/>
    </xf>
    <xf numFmtId="4" fontId="17" fillId="0" borderId="27" xfId="0" applyNumberFormat="1" applyFont="1" applyBorder="1" applyAlignment="1">
      <alignment vertical="center"/>
    </xf>
    <xf numFmtId="4" fontId="16" fillId="0" borderId="48" xfId="1" applyNumberFormat="1" applyFont="1" applyBorder="1" applyAlignment="1">
      <alignment vertical="center"/>
    </xf>
    <xf numFmtId="4" fontId="15" fillId="0" borderId="2" xfId="1" applyNumberFormat="1" applyFont="1" applyBorder="1" applyAlignment="1">
      <alignment vertical="center"/>
    </xf>
    <xf numFmtId="4" fontId="16" fillId="0" borderId="66" xfId="1" applyNumberFormat="1" applyFont="1" applyBorder="1" applyAlignment="1">
      <alignment vertical="center"/>
    </xf>
    <xf numFmtId="4" fontId="16" fillId="0" borderId="73" xfId="1" applyNumberFormat="1" applyFont="1" applyBorder="1" applyAlignment="1">
      <alignment vertical="center"/>
    </xf>
    <xf numFmtId="4" fontId="16" fillId="3" borderId="62" xfId="1" applyNumberFormat="1" applyFont="1" applyFill="1" applyBorder="1" applyAlignment="1">
      <alignment vertical="center"/>
    </xf>
    <xf numFmtId="165" fontId="16" fillId="0" borderId="23" xfId="1" applyNumberFormat="1" applyFont="1" applyBorder="1" applyAlignment="1">
      <alignment vertical="center"/>
    </xf>
    <xf numFmtId="4" fontId="13" fillId="0" borderId="49" xfId="0" applyNumberFormat="1" applyFont="1" applyBorder="1" applyAlignment="1">
      <alignment vertical="center"/>
    </xf>
    <xf numFmtId="4" fontId="23" fillId="0" borderId="49" xfId="0" applyNumberFormat="1" applyFont="1" applyBorder="1" applyAlignment="1">
      <alignment vertical="center"/>
    </xf>
    <xf numFmtId="4" fontId="23" fillId="5" borderId="49" xfId="0" applyNumberFormat="1" applyFont="1" applyFill="1" applyBorder="1" applyAlignment="1">
      <alignment vertical="center"/>
    </xf>
    <xf numFmtId="4" fontId="13" fillId="0" borderId="51" xfId="0" applyNumberFormat="1" applyFont="1" applyBorder="1" applyAlignment="1">
      <alignment vertical="center"/>
    </xf>
    <xf numFmtId="3" fontId="13" fillId="0" borderId="1" xfId="0" applyNumberFormat="1" applyFont="1" applyBorder="1" applyAlignment="1">
      <alignment vertical="center"/>
    </xf>
    <xf numFmtId="3" fontId="13" fillId="0" borderId="19" xfId="0" applyNumberFormat="1" applyFont="1" applyBorder="1" applyAlignment="1">
      <alignment vertical="center"/>
    </xf>
    <xf numFmtId="3" fontId="24" fillId="0" borderId="2" xfId="14" applyNumberFormat="1" applyFont="1" applyBorder="1" applyAlignment="1">
      <alignment horizontal="right" vertical="center"/>
    </xf>
    <xf numFmtId="3" fontId="16" fillId="0" borderId="19" xfId="14" applyNumberFormat="1" applyFont="1" applyBorder="1" applyAlignment="1">
      <alignment horizontal="right" vertical="center"/>
    </xf>
    <xf numFmtId="4" fontId="23" fillId="0" borderId="49" xfId="14" applyNumberFormat="1" applyFont="1" applyBorder="1" applyAlignment="1">
      <alignment vertical="center"/>
    </xf>
    <xf numFmtId="4" fontId="16" fillId="0" borderId="51" xfId="14" applyNumberFormat="1" applyFont="1" applyBorder="1" applyAlignment="1">
      <alignment vertical="center"/>
    </xf>
    <xf numFmtId="166" fontId="13" fillId="0" borderId="2" xfId="15" applyNumberFormat="1" applyFont="1" applyBorder="1" applyAlignment="1">
      <alignment horizontal="right" vertical="center"/>
    </xf>
    <xf numFmtId="166" fontId="16" fillId="0" borderId="31" xfId="15" applyNumberFormat="1" applyFont="1" applyBorder="1" applyAlignment="1">
      <alignment horizontal="right" vertical="center"/>
    </xf>
    <xf numFmtId="166" fontId="16" fillId="0" borderId="44" xfId="14" applyNumberFormat="1" applyFont="1" applyBorder="1" applyAlignment="1">
      <alignment horizontal="right" vertical="center" wrapText="1"/>
    </xf>
    <xf numFmtId="166" fontId="24" fillId="0" borderId="2" xfId="15" applyNumberFormat="1" applyFont="1" applyBorder="1" applyAlignment="1">
      <alignment horizontal="right" vertical="center"/>
    </xf>
    <xf numFmtId="0" fontId="13" fillId="7" borderId="55" xfId="0" applyFont="1" applyFill="1" applyBorder="1" applyAlignment="1">
      <alignment vertical="center" wrapText="1"/>
    </xf>
    <xf numFmtId="4" fontId="23" fillId="0" borderId="50" xfId="0" applyNumberFormat="1" applyFont="1" applyBorder="1" applyAlignment="1">
      <alignment horizontal="right" vertical="center"/>
    </xf>
    <xf numFmtId="4" fontId="23" fillId="0" borderId="66" xfId="0" applyNumberFormat="1" applyFont="1" applyBorder="1" applyAlignment="1">
      <alignment horizontal="right" vertical="center"/>
    </xf>
    <xf numFmtId="4" fontId="13" fillId="8" borderId="22" xfId="0" applyNumberFormat="1" applyFont="1" applyFill="1" applyBorder="1" applyAlignment="1">
      <alignment vertical="center"/>
    </xf>
    <xf numFmtId="4" fontId="13" fillId="8" borderId="50" xfId="0" applyNumberFormat="1" applyFont="1" applyFill="1" applyBorder="1" applyAlignment="1">
      <alignment vertical="center"/>
    </xf>
    <xf numFmtId="4" fontId="40" fillId="8" borderId="22" xfId="0" applyNumberFormat="1" applyFont="1" applyFill="1" applyBorder="1" applyAlignment="1">
      <alignment vertical="center"/>
    </xf>
    <xf numFmtId="4" fontId="16" fillId="6" borderId="5" xfId="0" applyNumberFormat="1" applyFont="1" applyFill="1" applyBorder="1" applyAlignment="1">
      <alignment vertical="center" wrapText="1"/>
    </xf>
    <xf numFmtId="4" fontId="13" fillId="7" borderId="19" xfId="0" applyNumberFormat="1" applyFont="1" applyFill="1" applyBorder="1" applyAlignment="1">
      <alignment vertical="center"/>
    </xf>
    <xf numFmtId="3" fontId="13" fillId="0" borderId="1" xfId="0" applyNumberFormat="1" applyFont="1" applyBorder="1" applyAlignment="1">
      <alignment wrapText="1"/>
    </xf>
    <xf numFmtId="3" fontId="13" fillId="0" borderId="19" xfId="0" applyNumberFormat="1" applyFont="1" applyBorder="1" applyAlignment="1">
      <alignment wrapText="1"/>
    </xf>
    <xf numFmtId="4" fontId="13" fillId="0" borderId="7" xfId="0" applyNumberFormat="1" applyFont="1" applyBorder="1" applyAlignment="1">
      <alignment wrapText="1"/>
    </xf>
    <xf numFmtId="4" fontId="13" fillId="0" borderId="20" xfId="0" applyNumberFormat="1" applyFont="1" applyBorder="1" applyAlignment="1">
      <alignment wrapText="1"/>
    </xf>
    <xf numFmtId="4" fontId="13" fillId="0" borderId="12" xfId="1" applyNumberFormat="1" applyFont="1" applyBorder="1" applyAlignment="1">
      <alignment vertical="center"/>
    </xf>
    <xf numFmtId="0" fontId="44" fillId="7" borderId="47" xfId="0" applyFont="1" applyFill="1" applyBorder="1" applyAlignment="1">
      <alignment vertical="center" wrapText="1"/>
    </xf>
    <xf numFmtId="0" fontId="44" fillId="8" borderId="47" xfId="0" applyFont="1" applyFill="1" applyBorder="1" applyAlignment="1">
      <alignment vertical="center" wrapText="1"/>
    </xf>
    <xf numFmtId="0" fontId="45" fillId="7" borderId="47" xfId="0" applyFont="1" applyFill="1" applyBorder="1" applyAlignment="1">
      <alignment vertical="center" wrapText="1"/>
    </xf>
    <xf numFmtId="0" fontId="45" fillId="8" borderId="47" xfId="0" applyFont="1" applyFill="1" applyBorder="1" applyAlignment="1">
      <alignment vertical="center" wrapText="1"/>
    </xf>
    <xf numFmtId="0" fontId="17" fillId="6" borderId="56" xfId="0" applyFont="1" applyFill="1" applyBorder="1" applyAlignment="1">
      <alignment vertical="center"/>
    </xf>
    <xf numFmtId="0" fontId="17" fillId="0" borderId="55" xfId="0" applyFont="1" applyBorder="1" applyAlignment="1">
      <alignment vertical="center" wrapText="1"/>
    </xf>
    <xf numFmtId="0" fontId="13" fillId="5" borderId="2" xfId="14" applyFont="1" applyFill="1" applyBorder="1" applyAlignment="1">
      <alignment horizontal="center" vertical="center"/>
    </xf>
    <xf numFmtId="4" fontId="13" fillId="0" borderId="9" xfId="14" applyNumberFormat="1" applyFont="1" applyBorder="1" applyAlignment="1">
      <alignment horizontal="right" vertical="center"/>
    </xf>
    <xf numFmtId="3" fontId="12" fillId="0" borderId="0" xfId="14" applyNumberFormat="1" applyFont="1" applyAlignment="1">
      <alignment horizontal="left"/>
    </xf>
    <xf numFmtId="0" fontId="23" fillId="0" borderId="77" xfId="14" applyFont="1" applyBorder="1" applyAlignment="1">
      <alignment vertical="center" wrapText="1"/>
    </xf>
    <xf numFmtId="0" fontId="17" fillId="7" borderId="55" xfId="0" applyFont="1" applyFill="1" applyBorder="1" applyAlignment="1">
      <alignment vertical="center" wrapText="1"/>
    </xf>
    <xf numFmtId="4" fontId="17" fillId="3" borderId="10" xfId="0" applyNumberFormat="1" applyFont="1" applyFill="1" applyBorder="1" applyAlignment="1">
      <alignment vertical="center"/>
    </xf>
    <xf numFmtId="0" fontId="17" fillId="8" borderId="56" xfId="0" applyFont="1" applyFill="1" applyBorder="1" applyAlignment="1">
      <alignment vertical="center" wrapText="1"/>
    </xf>
    <xf numFmtId="4" fontId="17" fillId="8" borderId="6" xfId="0" applyNumberFormat="1" applyFont="1" applyFill="1" applyBorder="1" applyAlignment="1">
      <alignment vertical="center"/>
    </xf>
    <xf numFmtId="0" fontId="16" fillId="0" borderId="4" xfId="14" applyFont="1" applyBorder="1" applyAlignment="1">
      <alignment horizontal="center" vertical="center"/>
    </xf>
    <xf numFmtId="0" fontId="16" fillId="0" borderId="70" xfId="14" applyFont="1" applyBorder="1" applyAlignment="1">
      <alignment vertical="center" wrapText="1"/>
    </xf>
    <xf numFmtId="0" fontId="16" fillId="0" borderId="17" xfId="14" applyFont="1" applyBorder="1" applyAlignment="1">
      <alignment vertical="center"/>
    </xf>
    <xf numFmtId="3" fontId="16" fillId="0" borderId="31" xfId="14" applyNumberFormat="1" applyFont="1" applyBorder="1" applyAlignment="1">
      <alignment vertical="center"/>
    </xf>
    <xf numFmtId="3" fontId="16" fillId="0" borderId="64" xfId="14" applyNumberFormat="1" applyFont="1" applyBorder="1" applyAlignment="1">
      <alignment vertical="center"/>
    </xf>
    <xf numFmtId="4" fontId="16" fillId="0" borderId="30" xfId="14" applyNumberFormat="1" applyFont="1" applyBorder="1" applyAlignment="1">
      <alignment horizontal="right" vertical="center"/>
    </xf>
    <xf numFmtId="4" fontId="16" fillId="0" borderId="44" xfId="14" applyNumberFormat="1" applyFont="1" applyBorder="1" applyAlignment="1">
      <alignment vertical="center"/>
    </xf>
    <xf numFmtId="4" fontId="16" fillId="0" borderId="68" xfId="14" applyNumberFormat="1" applyFont="1" applyBorder="1" applyAlignment="1">
      <alignment horizontal="right" vertical="center"/>
    </xf>
    <xf numFmtId="166" fontId="23" fillId="0" borderId="13" xfId="15" applyNumberFormat="1" applyFont="1" applyBorder="1" applyAlignment="1">
      <alignment horizontal="right" vertical="center"/>
    </xf>
    <xf numFmtId="2" fontId="12" fillId="0" borderId="0" xfId="14" applyNumberFormat="1" applyFont="1" applyAlignment="1">
      <alignment horizontal="left"/>
    </xf>
    <xf numFmtId="3" fontId="23" fillId="0" borderId="66" xfId="14" applyNumberFormat="1" applyFont="1" applyBorder="1" applyAlignment="1">
      <alignment vertical="center"/>
    </xf>
    <xf numFmtId="4" fontId="23" fillId="0" borderId="23" xfId="14" applyNumberFormat="1" applyFont="1" applyBorder="1" applyAlignment="1">
      <alignment vertical="center"/>
    </xf>
    <xf numFmtId="4" fontId="23" fillId="0" borderId="20" xfId="14" applyNumberFormat="1" applyFont="1" applyBorder="1" applyAlignment="1">
      <alignment horizontal="right" vertical="center"/>
    </xf>
    <xf numFmtId="4" fontId="23" fillId="0" borderId="79" xfId="14" applyNumberFormat="1" applyFont="1" applyBorder="1" applyAlignment="1">
      <alignment horizontal="right" vertical="center"/>
    </xf>
    <xf numFmtId="3" fontId="16" fillId="0" borderId="72" xfId="14" applyNumberFormat="1" applyFont="1" applyBorder="1" applyAlignment="1">
      <alignment vertical="center"/>
    </xf>
    <xf numFmtId="4" fontId="16" fillId="0" borderId="72" xfId="14" applyNumberFormat="1" applyFont="1" applyBorder="1" applyAlignment="1">
      <alignment vertical="center"/>
    </xf>
    <xf numFmtId="0" fontId="13" fillId="0" borderId="17" xfId="14" applyFont="1" applyBorder="1" applyAlignment="1">
      <alignment vertical="top"/>
    </xf>
    <xf numFmtId="0" fontId="16" fillId="5" borderId="3" xfId="14" applyFont="1" applyFill="1" applyBorder="1" applyAlignment="1">
      <alignment horizontal="center" vertical="center"/>
    </xf>
    <xf numFmtId="0" fontId="16" fillId="5" borderId="32" xfId="14" applyFont="1" applyFill="1" applyBorder="1" applyAlignment="1">
      <alignment horizontal="center" vertical="center"/>
    </xf>
    <xf numFmtId="4" fontId="16" fillId="0" borderId="45" xfId="20" applyNumberFormat="1" applyFont="1" applyBorder="1" applyAlignment="1">
      <alignment vertical="center"/>
    </xf>
    <xf numFmtId="166" fontId="16" fillId="0" borderId="1" xfId="20" applyNumberFormat="1" applyFont="1" applyBorder="1" applyAlignment="1">
      <alignment horizontal="right" vertical="center"/>
    </xf>
    <xf numFmtId="166" fontId="16" fillId="0" borderId="45" xfId="20" applyNumberFormat="1" applyFont="1" applyBorder="1" applyAlignment="1">
      <alignment horizontal="right" vertical="center" wrapText="1"/>
    </xf>
    <xf numFmtId="4" fontId="12" fillId="0" borderId="0" xfId="14" applyNumberFormat="1" applyFont="1"/>
    <xf numFmtId="4" fontId="15" fillId="0" borderId="0" xfId="14" applyNumberFormat="1" applyFont="1" applyAlignment="1">
      <alignment horizontal="right" vertical="center"/>
    </xf>
    <xf numFmtId="166" fontId="15" fillId="0" borderId="31" xfId="15" applyNumberFormat="1" applyFont="1" applyBorder="1" applyAlignment="1">
      <alignment horizontal="right" vertical="center"/>
    </xf>
    <xf numFmtId="166" fontId="15" fillId="0" borderId="44" xfId="14" applyNumberFormat="1" applyFont="1" applyBorder="1" applyAlignment="1">
      <alignment horizontal="right" vertical="center" wrapText="1"/>
    </xf>
    <xf numFmtId="4" fontId="13" fillId="0" borderId="12" xfId="1" applyNumberFormat="1" applyFont="1" applyBorder="1" applyAlignment="1">
      <alignment horizontal="right" vertical="center"/>
    </xf>
    <xf numFmtId="0" fontId="16" fillId="0" borderId="13" xfId="14" applyFont="1" applyBorder="1" applyAlignment="1">
      <alignment horizontal="center" vertical="center" wrapText="1"/>
    </xf>
    <xf numFmtId="0" fontId="16" fillId="0" borderId="4" xfId="14" applyFont="1" applyBorder="1" applyAlignment="1">
      <alignment horizontal="center" vertical="center" wrapText="1"/>
    </xf>
    <xf numFmtId="0" fontId="46" fillId="0" borderId="0" xfId="0" applyFont="1"/>
    <xf numFmtId="2" fontId="11" fillId="0" borderId="0" xfId="14" applyNumberFormat="1" applyFont="1" applyAlignment="1">
      <alignment horizontal="left" vertical="center" wrapText="1"/>
    </xf>
    <xf numFmtId="165" fontId="13" fillId="0" borderId="18" xfId="0" applyNumberFormat="1" applyFont="1" applyBorder="1" applyAlignment="1">
      <alignment horizontal="right"/>
    </xf>
    <xf numFmtId="0" fontId="14" fillId="0" borderId="0" xfId="0" applyFont="1" applyAlignment="1">
      <alignment wrapText="1"/>
    </xf>
    <xf numFmtId="4" fontId="13" fillId="0" borderId="41" xfId="14" applyNumberFormat="1" applyFont="1" applyBorder="1" applyAlignment="1">
      <alignment horizontal="right" vertical="center"/>
    </xf>
    <xf numFmtId="4" fontId="16" fillId="0" borderId="42" xfId="14" applyNumberFormat="1" applyFont="1" applyBorder="1" applyAlignment="1">
      <alignment horizontal="right" vertical="center"/>
    </xf>
    <xf numFmtId="0" fontId="23" fillId="0" borderId="25" xfId="14" applyFont="1" applyBorder="1" applyAlignment="1">
      <alignment vertical="center" wrapText="1"/>
    </xf>
    <xf numFmtId="3" fontId="13" fillId="0" borderId="50" xfId="0" applyNumberFormat="1" applyFont="1" applyBorder="1" applyAlignment="1">
      <alignment horizontal="right"/>
    </xf>
    <xf numFmtId="4" fontId="13" fillId="0" borderId="22" xfId="0" applyNumberFormat="1" applyFont="1" applyBorder="1" applyAlignment="1">
      <alignment horizontal="right"/>
    </xf>
    <xf numFmtId="3" fontId="16" fillId="0" borderId="5" xfId="0" applyNumberFormat="1" applyFont="1" applyBorder="1" applyAlignment="1">
      <alignment horizontal="right" vertical="center"/>
    </xf>
    <xf numFmtId="4" fontId="16" fillId="0" borderId="16" xfId="0" applyNumberFormat="1" applyFont="1" applyBorder="1" applyAlignment="1">
      <alignment horizontal="right" vertical="center"/>
    </xf>
    <xf numFmtId="3" fontId="16" fillId="0" borderId="48" xfId="0" applyNumberFormat="1" applyFont="1" applyBorder="1" applyAlignment="1">
      <alignment horizontal="right" vertical="center"/>
    </xf>
    <xf numFmtId="4" fontId="16" fillId="0" borderId="6" xfId="0" applyNumberFormat="1" applyFont="1" applyBorder="1" applyAlignment="1">
      <alignment horizontal="right" vertical="center"/>
    </xf>
    <xf numFmtId="4" fontId="16" fillId="0" borderId="36" xfId="0" applyNumberFormat="1" applyFont="1" applyBorder="1" applyAlignment="1">
      <alignment horizontal="right" vertical="center"/>
    </xf>
    <xf numFmtId="0" fontId="47" fillId="0" borderId="0" xfId="0" applyFont="1"/>
    <xf numFmtId="0" fontId="16" fillId="0" borderId="13" xfId="14" applyFont="1" applyBorder="1" applyAlignment="1">
      <alignment vertical="center"/>
    </xf>
    <xf numFmtId="3" fontId="13" fillId="0" borderId="3" xfId="14" applyNumberFormat="1" applyFont="1" applyBorder="1" applyAlignment="1">
      <alignment vertical="center"/>
    </xf>
    <xf numFmtId="4" fontId="13" fillId="0" borderId="50" xfId="14" applyNumberFormat="1" applyFont="1" applyBorder="1" applyAlignment="1">
      <alignment vertical="center"/>
    </xf>
    <xf numFmtId="4" fontId="13" fillId="0" borderId="26" xfId="14" applyNumberFormat="1" applyFont="1" applyBorder="1" applyAlignment="1">
      <alignment horizontal="right" vertical="center"/>
    </xf>
    <xf numFmtId="166" fontId="13" fillId="0" borderId="41" xfId="14" applyNumberFormat="1" applyFont="1" applyBorder="1" applyAlignment="1">
      <alignment horizontal="right" vertical="center" wrapText="1"/>
    </xf>
    <xf numFmtId="166" fontId="23" fillId="0" borderId="42" xfId="14" applyNumberFormat="1" applyFont="1" applyBorder="1" applyAlignment="1">
      <alignment horizontal="right" vertical="center" wrapText="1"/>
    </xf>
    <xf numFmtId="0" fontId="13" fillId="0" borderId="13" xfId="14" applyFont="1" applyBorder="1" applyAlignment="1">
      <alignment horizontal="center" vertical="center" wrapText="1"/>
    </xf>
    <xf numFmtId="3" fontId="13" fillId="0" borderId="2" xfId="14" applyNumberFormat="1" applyFont="1" applyBorder="1" applyAlignment="1">
      <alignment vertical="center"/>
    </xf>
    <xf numFmtId="0" fontId="47" fillId="0" borderId="41" xfId="0" applyFont="1" applyBorder="1" applyAlignment="1">
      <alignment vertical="center" wrapText="1"/>
    </xf>
    <xf numFmtId="0" fontId="11" fillId="0" borderId="8" xfId="14" applyFont="1" applyBorder="1" applyAlignment="1">
      <alignment vertical="center"/>
    </xf>
    <xf numFmtId="165" fontId="16" fillId="6" borderId="10" xfId="0" applyNumberFormat="1" applyFont="1" applyFill="1" applyBorder="1" applyAlignment="1">
      <alignment horizontal="right" vertical="center"/>
    </xf>
    <xf numFmtId="165" fontId="13" fillId="7" borderId="26" xfId="0" applyNumberFormat="1" applyFont="1" applyFill="1" applyBorder="1" applyAlignment="1">
      <alignment horizontal="right" vertical="center"/>
    </xf>
    <xf numFmtId="165" fontId="17" fillId="7" borderId="10" xfId="0" applyNumberFormat="1" applyFont="1" applyFill="1" applyBorder="1" applyAlignment="1">
      <alignment horizontal="right" vertical="center"/>
    </xf>
    <xf numFmtId="165" fontId="13" fillId="8" borderId="26" xfId="0" applyNumberFormat="1" applyFont="1" applyFill="1" applyBorder="1" applyAlignment="1">
      <alignment horizontal="right" vertical="center"/>
    </xf>
    <xf numFmtId="165" fontId="13" fillId="8" borderId="10" xfId="0" applyNumberFormat="1" applyFont="1" applyFill="1" applyBorder="1" applyAlignment="1">
      <alignment horizontal="right" vertical="center"/>
    </xf>
    <xf numFmtId="165" fontId="17" fillId="8" borderId="10" xfId="0" applyNumberFormat="1" applyFont="1" applyFill="1" applyBorder="1" applyAlignment="1">
      <alignment horizontal="right" vertical="center"/>
    </xf>
    <xf numFmtId="0" fontId="11" fillId="0" borderId="76" xfId="0" applyFont="1" applyBorder="1" applyAlignment="1">
      <alignment vertical="center" wrapText="1"/>
    </xf>
    <xf numFmtId="4" fontId="12" fillId="0" borderId="76" xfId="0" applyNumberFormat="1" applyFont="1" applyBorder="1" applyAlignment="1">
      <alignment vertical="center"/>
    </xf>
    <xf numFmtId="165" fontId="11" fillId="0" borderId="76" xfId="0" applyNumberFormat="1" applyFont="1" applyBorder="1" applyAlignment="1">
      <alignment vertical="center"/>
    </xf>
    <xf numFmtId="4" fontId="17" fillId="0" borderId="76" xfId="0" applyNumberFormat="1" applyFont="1" applyBorder="1" applyAlignment="1">
      <alignment vertical="center"/>
    </xf>
    <xf numFmtId="165" fontId="11" fillId="0" borderId="65" xfId="0" applyNumberFormat="1" applyFont="1" applyBorder="1" applyAlignment="1">
      <alignment vertical="center"/>
    </xf>
    <xf numFmtId="165" fontId="23" fillId="0" borderId="12" xfId="0" applyNumberFormat="1" applyFont="1" applyBorder="1" applyAlignment="1">
      <alignment horizontal="right" vertical="center"/>
    </xf>
    <xf numFmtId="4" fontId="17" fillId="3" borderId="12" xfId="0" applyNumberFormat="1" applyFont="1" applyFill="1" applyBorder="1"/>
    <xf numFmtId="4" fontId="17" fillId="3" borderId="18" xfId="0" applyNumberFormat="1" applyFont="1" applyFill="1" applyBorder="1"/>
    <xf numFmtId="4" fontId="17" fillId="3" borderId="61" xfId="15" applyNumberFormat="1" applyFont="1" applyFill="1" applyBorder="1" applyAlignment="1">
      <alignment horizontal="center" vertical="center" wrapText="1"/>
    </xf>
    <xf numFmtId="4" fontId="16" fillId="0" borderId="0" xfId="14" applyNumberFormat="1" applyFont="1" applyAlignment="1">
      <alignment vertical="center"/>
    </xf>
    <xf numFmtId="4" fontId="11" fillId="0" borderId="0" xfId="14" applyNumberFormat="1" applyFont="1" applyAlignment="1">
      <alignment horizontal="right" vertical="center"/>
    </xf>
    <xf numFmtId="4" fontId="17" fillId="10" borderId="31" xfId="15" applyNumberFormat="1" applyFont="1" applyFill="1" applyBorder="1" applyAlignment="1">
      <alignment horizontal="center" vertical="center" wrapText="1"/>
    </xf>
    <xf numFmtId="4" fontId="17" fillId="9" borderId="30" xfId="15" applyNumberFormat="1" applyFont="1" applyFill="1" applyBorder="1" applyAlignment="1">
      <alignment horizontal="center" vertical="center" wrapText="1"/>
    </xf>
    <xf numFmtId="4" fontId="17" fillId="11" borderId="44" xfId="15" applyNumberFormat="1" applyFont="1" applyFill="1" applyBorder="1" applyAlignment="1">
      <alignment horizontal="center" vertical="center" wrapText="1"/>
    </xf>
    <xf numFmtId="4" fontId="16" fillId="0" borderId="13" xfId="14" applyNumberFormat="1" applyFont="1" applyBorder="1" applyAlignment="1">
      <alignment horizontal="right" vertical="center"/>
    </xf>
    <xf numFmtId="4" fontId="16" fillId="5" borderId="0" xfId="14" applyNumberFormat="1" applyFont="1" applyFill="1" applyAlignment="1">
      <alignment vertical="center"/>
    </xf>
    <xf numFmtId="4" fontId="13" fillId="0" borderId="0" xfId="20" applyNumberFormat="1" applyFont="1" applyAlignment="1">
      <alignment horizontal="right" vertical="center"/>
    </xf>
    <xf numFmtId="4" fontId="23" fillId="0" borderId="0" xfId="14" applyNumberFormat="1" applyFont="1" applyAlignment="1">
      <alignment horizontal="left" vertical="top" wrapText="1"/>
    </xf>
    <xf numFmtId="4" fontId="14" fillId="0" borderId="0" xfId="0" applyNumberFormat="1" applyFont="1" applyAlignment="1">
      <alignment wrapText="1"/>
    </xf>
    <xf numFmtId="4" fontId="11" fillId="0" borderId="0" xfId="0" applyNumberFormat="1" applyFont="1" applyAlignment="1">
      <alignment horizontal="left" wrapText="1"/>
    </xf>
    <xf numFmtId="4" fontId="11" fillId="0" borderId="0" xfId="0" applyNumberFormat="1" applyFont="1" applyAlignment="1">
      <alignment horizontal="right" wrapText="1"/>
    </xf>
    <xf numFmtId="4" fontId="11" fillId="0" borderId="0" xfId="0" applyNumberFormat="1" applyFont="1" applyAlignment="1">
      <alignment horizontal="right"/>
    </xf>
    <xf numFmtId="4" fontId="17" fillId="3" borderId="10" xfId="2" applyNumberFormat="1" applyFont="1" applyFill="1" applyBorder="1" applyAlignment="1">
      <alignment vertical="center"/>
    </xf>
    <xf numFmtId="3" fontId="16" fillId="3" borderId="14" xfId="14" applyNumberFormat="1" applyFont="1" applyFill="1" applyBorder="1" applyAlignment="1">
      <alignment horizontal="right" vertical="center"/>
    </xf>
    <xf numFmtId="3" fontId="16" fillId="0" borderId="8" xfId="14" applyNumberFormat="1" applyFont="1" applyBorder="1" applyAlignment="1">
      <alignment horizontal="right" vertical="center"/>
    </xf>
    <xf numFmtId="3" fontId="23" fillId="0" borderId="8" xfId="14" applyNumberFormat="1" applyFont="1" applyBorder="1" applyAlignment="1">
      <alignment horizontal="right" vertical="center"/>
    </xf>
    <xf numFmtId="3" fontId="23" fillId="0" borderId="22" xfId="14" applyNumberFormat="1" applyFont="1" applyBorder="1" applyAlignment="1">
      <alignment horizontal="right" vertical="center"/>
    </xf>
    <xf numFmtId="3" fontId="15" fillId="0" borderId="1" xfId="14" applyNumberFormat="1" applyFont="1" applyBorder="1" applyAlignment="1">
      <alignment horizontal="right" vertical="center"/>
    </xf>
    <xf numFmtId="3" fontId="15" fillId="0" borderId="7" xfId="14" applyNumberFormat="1" applyFont="1" applyBorder="1" applyAlignment="1">
      <alignment horizontal="right" vertical="center"/>
    </xf>
    <xf numFmtId="3" fontId="15" fillId="0" borderId="21" xfId="14" applyNumberFormat="1" applyFont="1" applyBorder="1" applyAlignment="1">
      <alignment horizontal="right" vertical="center"/>
    </xf>
    <xf numFmtId="3" fontId="16" fillId="6" borderId="48" xfId="14" applyNumberFormat="1" applyFont="1" applyFill="1" applyBorder="1"/>
    <xf numFmtId="3" fontId="16" fillId="6" borderId="24" xfId="14" applyNumberFormat="1" applyFont="1" applyFill="1" applyBorder="1"/>
    <xf numFmtId="3" fontId="16" fillId="3" borderId="10" xfId="14" applyNumberFormat="1" applyFont="1" applyFill="1" applyBorder="1"/>
    <xf numFmtId="3" fontId="16" fillId="3" borderId="61" xfId="14" applyNumberFormat="1" applyFont="1" applyFill="1" applyBorder="1" applyAlignment="1">
      <alignment horizontal="right" vertical="center"/>
    </xf>
    <xf numFmtId="3" fontId="17" fillId="3" borderId="12" xfId="2" applyNumberFormat="1" applyFont="1" applyFill="1" applyBorder="1" applyAlignment="1">
      <alignment vertical="center"/>
    </xf>
    <xf numFmtId="3" fontId="17" fillId="3" borderId="28" xfId="2" applyNumberFormat="1" applyFont="1" applyFill="1" applyBorder="1" applyAlignment="1">
      <alignment vertical="center"/>
    </xf>
    <xf numFmtId="3" fontId="17" fillId="3" borderId="14" xfId="0" applyNumberFormat="1" applyFont="1" applyFill="1" applyBorder="1" applyAlignment="1">
      <alignment horizontal="right" vertical="center"/>
    </xf>
    <xf numFmtId="3" fontId="24" fillId="3" borderId="12" xfId="0" applyNumberFormat="1" applyFont="1" applyFill="1" applyBorder="1" applyAlignment="1">
      <alignment horizontal="right" vertical="center"/>
    </xf>
    <xf numFmtId="3" fontId="24" fillId="3" borderId="62" xfId="0" applyNumberFormat="1" applyFont="1" applyFill="1" applyBorder="1" applyAlignment="1">
      <alignment horizontal="right" vertical="center"/>
    </xf>
    <xf numFmtId="3" fontId="17" fillId="3" borderId="18" xfId="0" applyNumberFormat="1" applyFont="1" applyFill="1" applyBorder="1" applyAlignment="1">
      <alignment vertical="center"/>
    </xf>
    <xf numFmtId="3" fontId="13" fillId="3" borderId="12" xfId="0" applyNumberFormat="1" applyFont="1" applyFill="1" applyBorder="1" applyAlignment="1">
      <alignment vertical="center"/>
    </xf>
    <xf numFmtId="4" fontId="17" fillId="0" borderId="65" xfId="0" applyNumberFormat="1" applyFont="1" applyBorder="1" applyAlignment="1">
      <alignment vertical="center"/>
    </xf>
    <xf numFmtId="0" fontId="15" fillId="0" borderId="7" xfId="14" applyFont="1" applyBorder="1" applyAlignment="1">
      <alignment vertical="center" wrapText="1"/>
    </xf>
    <xf numFmtId="4" fontId="15" fillId="0" borderId="63" xfId="14" applyNumberFormat="1" applyFont="1" applyBorder="1" applyAlignment="1">
      <alignment horizontal="right" vertical="center"/>
    </xf>
    <xf numFmtId="4" fontId="15" fillId="0" borderId="69" xfId="14" applyNumberFormat="1" applyFont="1" applyBorder="1" applyAlignment="1">
      <alignment horizontal="right" vertical="center"/>
    </xf>
    <xf numFmtId="3" fontId="15" fillId="0" borderId="63" xfId="14" applyNumberFormat="1" applyFont="1" applyBorder="1" applyAlignment="1">
      <alignment horizontal="right" vertical="center"/>
    </xf>
    <xf numFmtId="0" fontId="15" fillId="0" borderId="31" xfId="14" applyFont="1" applyBorder="1" applyAlignment="1">
      <alignment horizontal="center" vertical="center"/>
    </xf>
    <xf numFmtId="0" fontId="15" fillId="0" borderId="44" xfId="14" applyFont="1" applyBorder="1" applyAlignment="1">
      <alignment vertical="center" wrapText="1"/>
    </xf>
    <xf numFmtId="3" fontId="15" fillId="0" borderId="31" xfId="14" applyNumberFormat="1" applyFont="1" applyBorder="1" applyAlignment="1">
      <alignment vertical="center"/>
    </xf>
    <xf numFmtId="4" fontId="15" fillId="0" borderId="34" xfId="14" applyNumberFormat="1" applyFont="1" applyBorder="1" applyAlignment="1">
      <alignment vertical="center"/>
    </xf>
    <xf numFmtId="4" fontId="15" fillId="0" borderId="64" xfId="14" applyNumberFormat="1" applyFont="1" applyBorder="1" applyAlignment="1">
      <alignment horizontal="right" vertical="center"/>
    </xf>
    <xf numFmtId="4" fontId="15" fillId="0" borderId="78" xfId="14" applyNumberFormat="1" applyFont="1" applyBorder="1" applyAlignment="1">
      <alignment horizontal="right" vertical="center"/>
    </xf>
    <xf numFmtId="3" fontId="15" fillId="0" borderId="31" xfId="14" applyNumberFormat="1" applyFont="1" applyBorder="1" applyAlignment="1">
      <alignment horizontal="right" vertical="center"/>
    </xf>
    <xf numFmtId="3" fontId="15" fillId="0" borderId="64" xfId="14" applyNumberFormat="1" applyFont="1" applyBorder="1" applyAlignment="1">
      <alignment horizontal="right" vertical="center"/>
    </xf>
    <xf numFmtId="3" fontId="15" fillId="0" borderId="34" xfId="14" applyNumberFormat="1" applyFont="1" applyBorder="1" applyAlignment="1">
      <alignment horizontal="right" vertical="center"/>
    </xf>
    <xf numFmtId="4" fontId="13" fillId="0" borderId="0" xfId="14" applyNumberFormat="1" applyFont="1" applyAlignment="1">
      <alignment horizontal="left" vertical="center"/>
    </xf>
    <xf numFmtId="3" fontId="17" fillId="3" borderId="12" xfId="0" applyNumberFormat="1" applyFont="1" applyFill="1" applyBorder="1"/>
    <xf numFmtId="3" fontId="16" fillId="3" borderId="10" xfId="0" applyNumberFormat="1" applyFont="1" applyFill="1" applyBorder="1"/>
    <xf numFmtId="3" fontId="24" fillId="3" borderId="18" xfId="0" applyNumberFormat="1" applyFont="1" applyFill="1" applyBorder="1" applyAlignment="1">
      <alignment vertical="center"/>
    </xf>
    <xf numFmtId="3" fontId="17" fillId="3" borderId="12" xfId="0" applyNumberFormat="1" applyFont="1" applyFill="1" applyBorder="1" applyAlignment="1">
      <alignment vertical="center"/>
    </xf>
    <xf numFmtId="4" fontId="17" fillId="8" borderId="5" xfId="0" applyNumberFormat="1" applyFont="1" applyFill="1" applyBorder="1" applyAlignment="1">
      <alignment vertical="center"/>
    </xf>
    <xf numFmtId="4" fontId="17" fillId="8" borderId="24" xfId="0" applyNumberFormat="1" applyFont="1" applyFill="1" applyBorder="1" applyAlignment="1">
      <alignment vertical="center"/>
    </xf>
    <xf numFmtId="4" fontId="16" fillId="6" borderId="24" xfId="0" applyNumberFormat="1" applyFont="1" applyFill="1" applyBorder="1" applyAlignment="1">
      <alignment vertical="center"/>
    </xf>
    <xf numFmtId="4" fontId="23" fillId="0" borderId="41" xfId="14" applyNumberFormat="1" applyFont="1" applyBorder="1" applyAlignment="1">
      <alignment horizontal="right" vertical="center"/>
    </xf>
    <xf numFmtId="4" fontId="17" fillId="7" borderId="66" xfId="0" applyNumberFormat="1" applyFont="1" applyFill="1" applyBorder="1" applyAlignment="1">
      <alignment vertical="center"/>
    </xf>
    <xf numFmtId="4" fontId="17" fillId="7" borderId="5" xfId="0" applyNumberFormat="1" applyFont="1" applyFill="1" applyBorder="1" applyAlignment="1">
      <alignment vertical="center"/>
    </xf>
    <xf numFmtId="4" fontId="13" fillId="8" borderId="5" xfId="0" applyNumberFormat="1" applyFont="1" applyFill="1" applyBorder="1" applyAlignment="1">
      <alignment vertical="center"/>
    </xf>
    <xf numFmtId="4" fontId="12" fillId="0" borderId="72" xfId="0" applyNumberFormat="1" applyFont="1" applyBorder="1" applyAlignment="1">
      <alignment vertical="center"/>
    </xf>
    <xf numFmtId="4" fontId="23" fillId="0" borderId="15" xfId="14" applyNumberFormat="1" applyFont="1" applyBorder="1" applyAlignment="1">
      <alignment horizontal="right" vertical="center"/>
    </xf>
    <xf numFmtId="4" fontId="23" fillId="0" borderId="8" xfId="14" applyNumberFormat="1" applyFont="1" applyBorder="1" applyAlignment="1">
      <alignment vertical="center"/>
    </xf>
    <xf numFmtId="165" fontId="23" fillId="0" borderId="3" xfId="15" applyNumberFormat="1" applyFont="1" applyBorder="1" applyAlignment="1">
      <alignment horizontal="right" vertical="center"/>
    </xf>
    <xf numFmtId="165" fontId="23" fillId="0" borderId="43" xfId="14" applyNumberFormat="1" applyFont="1" applyBorder="1" applyAlignment="1">
      <alignment horizontal="right" vertical="center" wrapText="1"/>
    </xf>
    <xf numFmtId="4" fontId="13" fillId="0" borderId="70" xfId="14" applyNumberFormat="1" applyFont="1" applyBorder="1" applyAlignment="1">
      <alignment horizontal="right" vertical="center"/>
    </xf>
    <xf numFmtId="4" fontId="23" fillId="0" borderId="9" xfId="14" applyNumberFormat="1" applyFont="1" applyBorder="1" applyAlignment="1">
      <alignment vertical="center"/>
    </xf>
    <xf numFmtId="0" fontId="23" fillId="5" borderId="8" xfId="14" applyFont="1" applyFill="1" applyBorder="1" applyAlignment="1">
      <alignment vertical="center" wrapText="1"/>
    </xf>
    <xf numFmtId="3" fontId="16" fillId="6" borderId="64" xfId="1" applyNumberFormat="1" applyFont="1" applyFill="1" applyBorder="1" applyAlignment="1">
      <alignment horizontal="center" vertical="center" wrapText="1"/>
    </xf>
    <xf numFmtId="3" fontId="16" fillId="6" borderId="0" xfId="1" applyNumberFormat="1" applyFont="1" applyFill="1" applyAlignment="1">
      <alignment horizontal="center" vertical="center" wrapText="1"/>
    </xf>
    <xf numFmtId="3" fontId="16" fillId="6" borderId="20" xfId="1" applyNumberFormat="1" applyFont="1" applyFill="1" applyBorder="1" applyAlignment="1">
      <alignment horizontal="center" vertical="center" wrapText="1"/>
    </xf>
    <xf numFmtId="4" fontId="13" fillId="3" borderId="18" xfId="0" applyNumberFormat="1" applyFont="1" applyFill="1" applyBorder="1" applyAlignment="1">
      <alignment horizontal="right" vertical="center"/>
    </xf>
    <xf numFmtId="4" fontId="13" fillId="0" borderId="7" xfId="0" applyNumberFormat="1" applyFont="1" applyBorder="1" applyAlignment="1">
      <alignment horizontal="right" vertical="center"/>
    </xf>
    <xf numFmtId="4" fontId="13" fillId="0" borderId="75" xfId="0" applyNumberFormat="1" applyFont="1" applyBorder="1" applyAlignment="1">
      <alignment horizontal="right" vertical="center"/>
    </xf>
    <xf numFmtId="4" fontId="13" fillId="3" borderId="14" xfId="0" applyNumberFormat="1" applyFont="1" applyFill="1" applyBorder="1" applyAlignment="1">
      <alignment horizontal="right" vertical="center"/>
    </xf>
    <xf numFmtId="4" fontId="13" fillId="3" borderId="14" xfId="0" applyNumberFormat="1" applyFont="1" applyFill="1" applyBorder="1" applyAlignment="1">
      <alignment vertical="center"/>
    </xf>
    <xf numFmtId="4" fontId="17" fillId="0" borderId="14" xfId="0" applyNumberFormat="1" applyFont="1" applyBorder="1" applyAlignment="1">
      <alignment horizontal="right" vertical="center"/>
    </xf>
    <xf numFmtId="4" fontId="17" fillId="3" borderId="21" xfId="0" applyNumberFormat="1" applyFont="1" applyFill="1" applyBorder="1" applyAlignment="1">
      <alignment vertical="center"/>
    </xf>
    <xf numFmtId="4" fontId="13" fillId="0" borderId="50" xfId="0" applyNumberFormat="1" applyFont="1" applyBorder="1" applyAlignment="1">
      <alignment horizontal="right" vertical="center"/>
    </xf>
    <xf numFmtId="4" fontId="13" fillId="0" borderId="17" xfId="0" applyNumberFormat="1" applyFont="1" applyBorder="1" applyAlignment="1">
      <alignment horizontal="right" vertical="center"/>
    </xf>
    <xf numFmtId="4" fontId="13" fillId="3" borderId="12" xfId="0" applyNumberFormat="1" applyFont="1" applyFill="1" applyBorder="1" applyAlignment="1">
      <alignment horizontal="right" vertical="center"/>
    </xf>
    <xf numFmtId="4" fontId="13" fillId="3" borderId="12" xfId="0" applyNumberFormat="1" applyFont="1" applyFill="1" applyBorder="1" applyAlignment="1">
      <alignment vertical="center"/>
    </xf>
    <xf numFmtId="4" fontId="17" fillId="0" borderId="12" xfId="0" applyNumberFormat="1" applyFont="1" applyBorder="1" applyAlignment="1">
      <alignment horizontal="right" vertical="center"/>
    </xf>
    <xf numFmtId="4" fontId="17" fillId="3" borderId="22" xfId="0" applyNumberFormat="1" applyFont="1" applyFill="1" applyBorder="1" applyAlignment="1">
      <alignment vertical="center"/>
    </xf>
    <xf numFmtId="4" fontId="13" fillId="0" borderId="8" xfId="0" applyNumberFormat="1" applyFont="1" applyBorder="1" applyAlignment="1">
      <alignment vertical="center"/>
    </xf>
    <xf numFmtId="4" fontId="17" fillId="0" borderId="12" xfId="0" applyNumberFormat="1" applyFont="1" applyBorder="1" applyAlignment="1">
      <alignment vertical="center"/>
    </xf>
    <xf numFmtId="4" fontId="17" fillId="3" borderId="10" xfId="0" applyNumberFormat="1" applyFont="1" applyFill="1" applyBorder="1" applyAlignment="1">
      <alignment horizontal="right" vertical="center"/>
    </xf>
    <xf numFmtId="4" fontId="17" fillId="6" borderId="48" xfId="0" applyNumberFormat="1" applyFont="1" applyFill="1" applyBorder="1" applyAlignment="1">
      <alignment horizontal="right" vertical="center"/>
    </xf>
    <xf numFmtId="4" fontId="17" fillId="6" borderId="6" xfId="0" applyNumberFormat="1" applyFont="1" applyFill="1" applyBorder="1" applyAlignment="1">
      <alignment horizontal="right" vertical="center"/>
    </xf>
    <xf numFmtId="4" fontId="17" fillId="6" borderId="10" xfId="0" applyNumberFormat="1" applyFont="1" applyFill="1" applyBorder="1" applyAlignment="1">
      <alignment horizontal="right" vertical="center"/>
    </xf>
    <xf numFmtId="4" fontId="17" fillId="3" borderId="24" xfId="0" applyNumberFormat="1" applyFont="1" applyFill="1" applyBorder="1" applyAlignment="1">
      <alignment horizontal="right" vertical="center"/>
    </xf>
    <xf numFmtId="166" fontId="16" fillId="0" borderId="64" xfId="15" applyNumberFormat="1" applyFont="1" applyBorder="1" applyAlignment="1">
      <alignment horizontal="right" vertical="center"/>
    </xf>
    <xf numFmtId="0" fontId="23" fillId="0" borderId="22" xfId="14" applyFont="1" applyBorder="1" applyAlignment="1">
      <alignment horizontal="left" vertical="center" wrapText="1"/>
    </xf>
    <xf numFmtId="4" fontId="23" fillId="0" borderId="25" xfId="14" applyNumberFormat="1" applyFont="1" applyBorder="1" applyAlignment="1">
      <alignment horizontal="right" vertical="center"/>
    </xf>
    <xf numFmtId="3" fontId="16" fillId="6" borderId="6" xfId="14" applyNumberFormat="1" applyFont="1" applyFill="1" applyBorder="1" applyAlignment="1">
      <alignment vertical="center"/>
    </xf>
    <xf numFmtId="3" fontId="16" fillId="3" borderId="5" xfId="14" applyNumberFormat="1" applyFont="1" applyFill="1" applyBorder="1" applyAlignment="1">
      <alignment vertical="center"/>
    </xf>
    <xf numFmtId="3" fontId="13" fillId="0" borderId="8" xfId="14" applyNumberFormat="1" applyFont="1" applyBorder="1" applyAlignment="1">
      <alignment horizontal="right" vertical="center"/>
    </xf>
    <xf numFmtId="4" fontId="11" fillId="5" borderId="15" xfId="14" applyNumberFormat="1" applyFont="1" applyFill="1" applyBorder="1" applyAlignment="1">
      <alignment horizontal="right" vertical="center"/>
    </xf>
    <xf numFmtId="4" fontId="11" fillId="5" borderId="77" xfId="14" applyNumberFormat="1" applyFont="1" applyFill="1" applyBorder="1" applyAlignment="1">
      <alignment horizontal="right" vertical="center"/>
    </xf>
    <xf numFmtId="4" fontId="13" fillId="5" borderId="8" xfId="14" applyNumberFormat="1" applyFont="1" applyFill="1" applyBorder="1" applyAlignment="1">
      <alignment horizontal="right" vertical="center"/>
    </xf>
    <xf numFmtId="3" fontId="13" fillId="0" borderId="70" xfId="14" applyNumberFormat="1" applyFont="1" applyBorder="1" applyAlignment="1">
      <alignment horizontal="right" vertical="center"/>
    </xf>
    <xf numFmtId="4" fontId="13" fillId="5" borderId="15" xfId="14" applyNumberFormat="1" applyFont="1" applyFill="1" applyBorder="1" applyAlignment="1">
      <alignment horizontal="right" vertical="center"/>
    </xf>
    <xf numFmtId="4" fontId="13" fillId="5" borderId="77" xfId="14" applyNumberFormat="1" applyFont="1" applyFill="1" applyBorder="1" applyAlignment="1">
      <alignment horizontal="right" vertical="center"/>
    </xf>
    <xf numFmtId="4" fontId="13" fillId="5" borderId="70" xfId="14" applyNumberFormat="1" applyFont="1" applyFill="1" applyBorder="1" applyAlignment="1">
      <alignment horizontal="right" vertical="center"/>
    </xf>
    <xf numFmtId="4" fontId="16" fillId="5" borderId="70" xfId="14" applyNumberFormat="1" applyFont="1" applyFill="1" applyBorder="1" applyAlignment="1">
      <alignment horizontal="right" vertical="center"/>
    </xf>
    <xf numFmtId="3" fontId="16" fillId="5" borderId="70" xfId="14" applyNumberFormat="1" applyFont="1" applyFill="1" applyBorder="1" applyAlignment="1">
      <alignment horizontal="right" vertical="center"/>
    </xf>
    <xf numFmtId="4" fontId="16" fillId="5" borderId="71" xfId="14" applyNumberFormat="1" applyFont="1" applyFill="1" applyBorder="1" applyAlignment="1">
      <alignment horizontal="right" vertical="center"/>
    </xf>
    <xf numFmtId="3" fontId="16" fillId="5" borderId="51" xfId="14" applyNumberFormat="1" applyFont="1" applyFill="1" applyBorder="1" applyAlignment="1">
      <alignment horizontal="right" vertical="center"/>
    </xf>
    <xf numFmtId="4" fontId="16" fillId="5" borderId="37" xfId="14" applyNumberFormat="1" applyFont="1" applyFill="1" applyBorder="1" applyAlignment="1">
      <alignment horizontal="right" vertical="center"/>
    </xf>
    <xf numFmtId="3" fontId="16" fillId="5" borderId="2" xfId="14" applyNumberFormat="1" applyFont="1" applyFill="1" applyBorder="1" applyAlignment="1">
      <alignment horizontal="right" vertical="center"/>
    </xf>
    <xf numFmtId="4" fontId="16" fillId="5" borderId="41" xfId="14" applyNumberFormat="1" applyFont="1" applyFill="1" applyBorder="1" applyAlignment="1">
      <alignment vertical="center"/>
    </xf>
    <xf numFmtId="4" fontId="23" fillId="0" borderId="15" xfId="14" applyNumberFormat="1" applyFont="1" applyBorder="1" applyAlignment="1">
      <alignment vertical="center"/>
    </xf>
    <xf numFmtId="4" fontId="23" fillId="0" borderId="25" xfId="14" applyNumberFormat="1" applyFont="1" applyBorder="1" applyAlignment="1">
      <alignment vertical="center"/>
    </xf>
    <xf numFmtId="4" fontId="23" fillId="0" borderId="51" xfId="14" applyNumberFormat="1" applyFont="1" applyBorder="1" applyAlignment="1">
      <alignment vertical="center"/>
    </xf>
    <xf numFmtId="3" fontId="23" fillId="0" borderId="81" xfId="14" applyNumberFormat="1" applyFont="1" applyBorder="1" applyAlignment="1">
      <alignment horizontal="right" vertical="center"/>
    </xf>
    <xf numFmtId="4" fontId="23" fillId="0" borderId="82" xfId="14" applyNumberFormat="1" applyFont="1" applyBorder="1" applyAlignment="1">
      <alignment vertical="center"/>
    </xf>
    <xf numFmtId="3" fontId="23" fillId="0" borderId="3" xfId="14" applyNumberFormat="1" applyFont="1" applyBorder="1" applyAlignment="1">
      <alignment horizontal="right" vertical="center"/>
    </xf>
    <xf numFmtId="3" fontId="23" fillId="0" borderId="51" xfId="14" applyNumberFormat="1" applyFont="1" applyBorder="1" applyAlignment="1">
      <alignment horizontal="right" vertical="center"/>
    </xf>
    <xf numFmtId="0" fontId="15" fillId="0" borderId="0" xfId="0" applyFont="1"/>
    <xf numFmtId="3" fontId="16" fillId="5" borderId="1" xfId="14" applyNumberFormat="1" applyFont="1" applyFill="1" applyBorder="1" applyAlignment="1">
      <alignment vertical="center"/>
    </xf>
    <xf numFmtId="4" fontId="16" fillId="5" borderId="21" xfId="14" applyNumberFormat="1" applyFont="1" applyFill="1" applyBorder="1" applyAlignment="1">
      <alignment horizontal="right" vertical="center"/>
    </xf>
    <xf numFmtId="4" fontId="16" fillId="5" borderId="7" xfId="14" applyNumberFormat="1" applyFont="1" applyFill="1" applyBorder="1" applyAlignment="1">
      <alignment horizontal="right" vertical="center"/>
    </xf>
    <xf numFmtId="3" fontId="16" fillId="6" borderId="78" xfId="1" applyNumberFormat="1" applyFont="1" applyFill="1" applyBorder="1" applyAlignment="1">
      <alignment horizontal="center" vertical="center" wrapText="1"/>
    </xf>
    <xf numFmtId="3" fontId="23" fillId="0" borderId="50" xfId="14" applyNumberFormat="1" applyFont="1" applyBorder="1" applyAlignment="1">
      <alignment horizontal="right" vertical="center"/>
    </xf>
    <xf numFmtId="3" fontId="48" fillId="6" borderId="5" xfId="0" applyNumberFormat="1" applyFont="1" applyFill="1" applyBorder="1" applyAlignment="1">
      <alignment horizontal="right" wrapText="1"/>
    </xf>
    <xf numFmtId="4" fontId="48" fillId="6" borderId="6" xfId="0" applyNumberFormat="1" applyFont="1" applyFill="1" applyBorder="1" applyAlignment="1">
      <alignment wrapText="1"/>
    </xf>
    <xf numFmtId="4" fontId="48" fillId="6" borderId="36" xfId="0" applyNumberFormat="1" applyFont="1" applyFill="1" applyBorder="1" applyAlignment="1">
      <alignment wrapText="1"/>
    </xf>
    <xf numFmtId="3" fontId="48" fillId="6" borderId="5" xfId="0" applyNumberFormat="1" applyFont="1" applyFill="1" applyBorder="1" applyAlignment="1">
      <alignment wrapText="1"/>
    </xf>
    <xf numFmtId="4" fontId="48" fillId="6" borderId="5" xfId="0" applyNumberFormat="1" applyFont="1" applyFill="1" applyBorder="1" applyAlignment="1">
      <alignment wrapText="1"/>
    </xf>
    <xf numFmtId="3" fontId="16" fillId="6" borderId="30" xfId="1" applyNumberFormat="1" applyFont="1" applyFill="1" applyBorder="1" applyAlignment="1">
      <alignment horizontal="center" vertical="center" wrapText="1"/>
    </xf>
    <xf numFmtId="0" fontId="13" fillId="0" borderId="0" xfId="0" applyFont="1" applyAlignment="1">
      <alignment vertical="center"/>
    </xf>
    <xf numFmtId="0" fontId="13" fillId="0" borderId="0" xfId="1" applyFont="1" applyAlignment="1">
      <alignment vertical="center"/>
    </xf>
    <xf numFmtId="0" fontId="16" fillId="0" borderId="38" xfId="14" applyFont="1" applyBorder="1" applyAlignment="1">
      <alignment vertical="center" wrapText="1"/>
    </xf>
    <xf numFmtId="0" fontId="16" fillId="0" borderId="32" xfId="14" applyFont="1" applyBorder="1" applyAlignment="1">
      <alignment horizontal="center" vertical="center"/>
    </xf>
    <xf numFmtId="4" fontId="13" fillId="3" borderId="62" xfId="0" applyNumberFormat="1" applyFont="1" applyFill="1" applyBorder="1" applyAlignment="1">
      <alignment horizontal="right" vertical="center"/>
    </xf>
    <xf numFmtId="4" fontId="17" fillId="6" borderId="36" xfId="0" applyNumberFormat="1" applyFont="1" applyFill="1" applyBorder="1" applyAlignment="1">
      <alignment horizontal="right" vertical="center"/>
    </xf>
    <xf numFmtId="4" fontId="17" fillId="3" borderId="14" xfId="0" applyNumberFormat="1" applyFont="1" applyFill="1" applyBorder="1" applyAlignment="1">
      <alignment vertical="center"/>
    </xf>
    <xf numFmtId="4" fontId="13" fillId="3" borderId="70" xfId="0" applyNumberFormat="1" applyFont="1" applyFill="1" applyBorder="1" applyAlignment="1">
      <alignment horizontal="right" vertical="center"/>
    </xf>
    <xf numFmtId="4" fontId="13" fillId="3" borderId="70" xfId="0" applyNumberFormat="1" applyFont="1" applyFill="1" applyBorder="1" applyAlignment="1">
      <alignment vertical="center"/>
    </xf>
    <xf numFmtId="4" fontId="13" fillId="0" borderId="49" xfId="0" applyNumberFormat="1" applyFont="1" applyBorder="1" applyAlignment="1">
      <alignment horizontal="right" vertical="center"/>
    </xf>
    <xf numFmtId="4" fontId="13" fillId="0" borderId="38" xfId="0" applyNumberFormat="1" applyFont="1" applyBorder="1" applyAlignment="1">
      <alignment horizontal="right" vertical="center"/>
    </xf>
    <xf numFmtId="4" fontId="13" fillId="3" borderId="18" xfId="0" applyNumberFormat="1" applyFont="1" applyFill="1" applyBorder="1" applyAlignment="1">
      <alignment vertical="center"/>
    </xf>
    <xf numFmtId="4" fontId="17" fillId="0" borderId="18" xfId="0" applyNumberFormat="1" applyFont="1" applyBorder="1" applyAlignment="1">
      <alignment horizontal="right" vertical="center"/>
    </xf>
    <xf numFmtId="4" fontId="17" fillId="3" borderId="25" xfId="0" applyNumberFormat="1" applyFont="1" applyFill="1" applyBorder="1" applyAlignment="1">
      <alignment vertical="center"/>
    </xf>
    <xf numFmtId="4" fontId="13" fillId="0" borderId="1" xfId="0" applyNumberFormat="1" applyFont="1" applyBorder="1" applyAlignment="1">
      <alignment horizontal="right" vertical="center"/>
    </xf>
    <xf numFmtId="0" fontId="17" fillId="0" borderId="58" xfId="0" applyFont="1" applyBorder="1" applyAlignment="1">
      <alignment vertical="center"/>
    </xf>
    <xf numFmtId="0" fontId="17" fillId="0" borderId="14" xfId="0" applyFont="1" applyBorder="1" applyAlignment="1">
      <alignment vertical="center"/>
    </xf>
    <xf numFmtId="4" fontId="13" fillId="0" borderId="13" xfId="0" applyNumberFormat="1" applyFont="1" applyBorder="1" applyAlignment="1">
      <alignment horizontal="right" vertical="center"/>
    </xf>
    <xf numFmtId="4" fontId="13" fillId="7" borderId="22" xfId="0" applyNumberFormat="1" applyFont="1" applyFill="1" applyBorder="1" applyAlignment="1">
      <alignment vertical="center"/>
    </xf>
    <xf numFmtId="4" fontId="13" fillId="7" borderId="23" xfId="0" applyNumberFormat="1" applyFont="1" applyFill="1" applyBorder="1" applyAlignment="1">
      <alignment vertical="center"/>
    </xf>
    <xf numFmtId="4" fontId="13" fillId="8" borderId="26" xfId="0" applyNumberFormat="1" applyFont="1" applyFill="1" applyBorder="1" applyAlignment="1">
      <alignment vertical="center"/>
    </xf>
    <xf numFmtId="4" fontId="16" fillId="6" borderId="48" xfId="0" applyNumberFormat="1" applyFont="1" applyFill="1" applyBorder="1" applyAlignment="1">
      <alignment vertical="center"/>
    </xf>
    <xf numFmtId="4" fontId="13" fillId="8" borderId="24" xfId="0" applyNumberFormat="1" applyFont="1" applyFill="1" applyBorder="1" applyAlignment="1">
      <alignment vertical="center"/>
    </xf>
    <xf numFmtId="4" fontId="17" fillId="7" borderId="24" xfId="0" applyNumberFormat="1" applyFont="1" applyFill="1" applyBorder="1" applyAlignment="1">
      <alignment vertical="center"/>
    </xf>
    <xf numFmtId="4" fontId="13" fillId="7" borderId="26" xfId="0" applyNumberFormat="1" applyFont="1" applyFill="1" applyBorder="1" applyAlignment="1">
      <alignment vertical="center"/>
    </xf>
    <xf numFmtId="4" fontId="13" fillId="7" borderId="50" xfId="0" applyNumberFormat="1" applyFont="1" applyFill="1" applyBorder="1" applyAlignment="1">
      <alignment vertical="center"/>
    </xf>
    <xf numFmtId="4" fontId="17" fillId="0" borderId="69" xfId="0" applyNumberFormat="1" applyFont="1" applyBorder="1" applyAlignment="1">
      <alignment horizontal="right" vertical="center"/>
    </xf>
    <xf numFmtId="3" fontId="17" fillId="0" borderId="1" xfId="0" applyNumberFormat="1" applyFont="1" applyBorder="1" applyAlignment="1">
      <alignment horizontal="right" vertical="center"/>
    </xf>
    <xf numFmtId="3" fontId="16" fillId="0" borderId="13" xfId="14" applyNumberFormat="1" applyFont="1" applyBorder="1" applyAlignment="1">
      <alignment horizontal="right" vertical="center"/>
    </xf>
    <xf numFmtId="3" fontId="23" fillId="3" borderId="12" xfId="0" applyNumberFormat="1" applyFont="1" applyFill="1" applyBorder="1" applyAlignment="1">
      <alignment horizontal="right" vertical="center"/>
    </xf>
    <xf numFmtId="3" fontId="23" fillId="3" borderId="62" xfId="0" applyNumberFormat="1" applyFont="1" applyFill="1" applyBorder="1" applyAlignment="1">
      <alignment horizontal="right" vertical="center"/>
    </xf>
    <xf numFmtId="0" fontId="23" fillId="0" borderId="15" xfId="14" applyFont="1" applyBorder="1" applyAlignment="1">
      <alignment vertical="center" wrapText="1"/>
    </xf>
    <xf numFmtId="0" fontId="47" fillId="0" borderId="0" xfId="0" applyFont="1" applyAlignment="1">
      <alignment horizontal="center" vertical="center"/>
    </xf>
    <xf numFmtId="166" fontId="16" fillId="0" borderId="49" xfId="15" applyNumberFormat="1" applyFont="1" applyBorder="1" applyAlignment="1">
      <alignment horizontal="right" vertical="center"/>
    </xf>
    <xf numFmtId="3" fontId="23" fillId="0" borderId="13" xfId="14" applyNumberFormat="1" applyFont="1" applyBorder="1"/>
    <xf numFmtId="4" fontId="23" fillId="0" borderId="25" xfId="14" applyNumberFormat="1" applyFont="1" applyBorder="1"/>
    <xf numFmtId="3" fontId="23" fillId="0" borderId="2" xfId="14" applyNumberFormat="1" applyFont="1" applyBorder="1"/>
    <xf numFmtId="4" fontId="23" fillId="0" borderId="22" xfId="14" applyNumberFormat="1" applyFont="1" applyBorder="1"/>
    <xf numFmtId="165" fontId="23" fillId="0" borderId="3" xfId="14" applyNumberFormat="1" applyFont="1" applyBorder="1" applyAlignment="1">
      <alignment vertical="center"/>
    </xf>
    <xf numFmtId="169" fontId="12" fillId="0" borderId="0" xfId="0" applyNumberFormat="1" applyFont="1"/>
    <xf numFmtId="4" fontId="13" fillId="0" borderId="7" xfId="0" applyNumberFormat="1" applyFont="1" applyBorder="1"/>
    <xf numFmtId="4" fontId="13" fillId="0" borderId="8" xfId="0" applyNumberFormat="1" applyFont="1" applyBorder="1"/>
    <xf numFmtId="4" fontId="13" fillId="0" borderId="20" xfId="0" applyNumberFormat="1" applyFont="1" applyBorder="1"/>
    <xf numFmtId="4" fontId="17" fillId="7" borderId="6" xfId="0" applyNumberFormat="1" applyFont="1" applyFill="1" applyBorder="1" applyAlignment="1">
      <alignment vertical="center"/>
    </xf>
    <xf numFmtId="4" fontId="17" fillId="7" borderId="16" xfId="0" applyNumberFormat="1" applyFont="1" applyFill="1" applyBorder="1" applyAlignment="1">
      <alignment vertical="center"/>
    </xf>
    <xf numFmtId="3" fontId="16" fillId="0" borderId="45" xfId="14" applyNumberFormat="1" applyFont="1" applyBorder="1" applyAlignment="1">
      <alignment horizontal="right" vertical="center"/>
    </xf>
    <xf numFmtId="3" fontId="16" fillId="0" borderId="42" xfId="14" applyNumberFormat="1" applyFont="1" applyBorder="1" applyAlignment="1">
      <alignment horizontal="right" vertical="center"/>
    </xf>
    <xf numFmtId="3" fontId="16" fillId="3" borderId="12" xfId="14" applyNumberFormat="1" applyFont="1" applyFill="1" applyBorder="1" applyAlignment="1">
      <alignment horizontal="right" vertical="center"/>
    </xf>
    <xf numFmtId="3" fontId="16" fillId="3" borderId="11" xfId="14" applyNumberFormat="1" applyFont="1" applyFill="1" applyBorder="1" applyAlignment="1">
      <alignment horizontal="right" vertical="center"/>
    </xf>
    <xf numFmtId="3" fontId="16" fillId="3" borderId="10" xfId="14" applyNumberFormat="1" applyFont="1" applyFill="1" applyBorder="1" applyAlignment="1">
      <alignment vertical="center"/>
    </xf>
    <xf numFmtId="3" fontId="16" fillId="0" borderId="41" xfId="14" applyNumberFormat="1" applyFont="1" applyBorder="1" applyAlignment="1">
      <alignment horizontal="right" vertical="center"/>
    </xf>
    <xf numFmtId="3" fontId="23" fillId="0" borderId="8" xfId="14" applyNumberFormat="1" applyFont="1" applyBorder="1" applyAlignment="1">
      <alignment vertical="center"/>
    </xf>
    <xf numFmtId="3" fontId="23" fillId="0" borderId="41" xfId="14" applyNumberFormat="1" applyFont="1" applyBorder="1" applyAlignment="1">
      <alignment horizontal="right" vertical="center"/>
    </xf>
    <xf numFmtId="3" fontId="24" fillId="3" borderId="12" xfId="14" applyNumberFormat="1" applyFont="1" applyFill="1" applyBorder="1" applyAlignment="1">
      <alignment horizontal="right" vertical="center"/>
    </xf>
    <xf numFmtId="3" fontId="23" fillId="0" borderId="43" xfId="14" applyNumberFormat="1" applyFont="1" applyBorder="1" applyAlignment="1">
      <alignment horizontal="right" vertical="center"/>
    </xf>
    <xf numFmtId="3" fontId="16" fillId="0" borderId="43" xfId="14" applyNumberFormat="1" applyFont="1" applyBorder="1" applyAlignment="1">
      <alignment horizontal="right" vertical="center"/>
    </xf>
    <xf numFmtId="3" fontId="16" fillId="0" borderId="30" xfId="14" applyNumberFormat="1" applyFont="1" applyBorder="1" applyAlignment="1">
      <alignment vertical="center"/>
    </xf>
    <xf numFmtId="3" fontId="16" fillId="0" borderId="44" xfId="14" applyNumberFormat="1" applyFont="1" applyBorder="1" applyAlignment="1">
      <alignment horizontal="right" vertical="center"/>
    </xf>
    <xf numFmtId="3" fontId="16" fillId="3" borderId="18" xfId="14" applyNumberFormat="1" applyFont="1" applyFill="1" applyBorder="1" applyAlignment="1">
      <alignment horizontal="right" vertical="center"/>
    </xf>
    <xf numFmtId="3" fontId="16" fillId="0" borderId="21" xfId="14" applyNumberFormat="1" applyFont="1" applyBorder="1" applyAlignment="1">
      <alignment horizontal="right" vertical="center"/>
    </xf>
    <xf numFmtId="3" fontId="16" fillId="0" borderId="4" xfId="14" applyNumberFormat="1" applyFont="1" applyBorder="1" applyAlignment="1">
      <alignment horizontal="right" vertical="center"/>
    </xf>
    <xf numFmtId="3" fontId="16" fillId="0" borderId="29" xfId="14" applyNumberFormat="1" applyFont="1" applyBorder="1" applyAlignment="1">
      <alignment horizontal="right" vertical="center"/>
    </xf>
    <xf numFmtId="3" fontId="16" fillId="0" borderId="27" xfId="14" applyNumberFormat="1" applyFont="1" applyBorder="1" applyAlignment="1">
      <alignment horizontal="right" vertical="center"/>
    </xf>
    <xf numFmtId="3" fontId="16" fillId="0" borderId="3" xfId="14" applyNumberFormat="1" applyFont="1" applyBorder="1" applyAlignment="1">
      <alignment horizontal="right" vertical="center"/>
    </xf>
    <xf numFmtId="3" fontId="16" fillId="0" borderId="9" xfId="14" applyNumberFormat="1" applyFont="1" applyBorder="1" applyAlignment="1">
      <alignment horizontal="right" vertical="center"/>
    </xf>
    <xf numFmtId="3" fontId="16" fillId="0" borderId="26" xfId="14" applyNumberFormat="1" applyFont="1" applyBorder="1" applyAlignment="1">
      <alignment horizontal="right" vertical="center"/>
    </xf>
    <xf numFmtId="3" fontId="16" fillId="0" borderId="32" xfId="14" applyNumberFormat="1" applyFont="1" applyBorder="1" applyAlignment="1">
      <alignment horizontal="right" vertical="center"/>
    </xf>
    <xf numFmtId="3" fontId="16" fillId="0" borderId="35" xfId="14" applyNumberFormat="1" applyFont="1" applyBorder="1" applyAlignment="1">
      <alignment horizontal="right" vertical="center"/>
    </xf>
    <xf numFmtId="3" fontId="16" fillId="0" borderId="39" xfId="14" applyNumberFormat="1" applyFont="1" applyBorder="1" applyAlignment="1">
      <alignment horizontal="right" vertical="center"/>
    </xf>
    <xf numFmtId="3" fontId="16" fillId="0" borderId="22" xfId="14" applyNumberFormat="1" applyFont="1" applyBorder="1" applyAlignment="1">
      <alignment horizontal="right" vertical="center"/>
    </xf>
    <xf numFmtId="3" fontId="16" fillId="6" borderId="16" xfId="14" applyNumberFormat="1" applyFont="1" applyFill="1" applyBorder="1" applyAlignment="1">
      <alignment vertical="center"/>
    </xf>
    <xf numFmtId="3" fontId="16" fillId="0" borderId="76" xfId="14" applyNumberFormat="1" applyFont="1" applyBorder="1" applyAlignment="1">
      <alignment horizontal="right" vertical="center"/>
    </xf>
    <xf numFmtId="3" fontId="16" fillId="0" borderId="71" xfId="14" applyNumberFormat="1" applyFont="1" applyBorder="1" applyAlignment="1">
      <alignment horizontal="right" vertical="center"/>
    </xf>
    <xf numFmtId="3" fontId="16" fillId="6" borderId="6" xfId="14" applyNumberFormat="1" applyFont="1" applyFill="1" applyBorder="1" applyAlignment="1">
      <alignment horizontal="right" vertical="center"/>
    </xf>
    <xf numFmtId="3" fontId="16" fillId="6" borderId="65" xfId="14" applyNumberFormat="1" applyFont="1" applyFill="1" applyBorder="1" applyAlignment="1">
      <alignment horizontal="right" vertical="center"/>
    </xf>
    <xf numFmtId="3" fontId="16" fillId="3" borderId="10" xfId="14" applyNumberFormat="1" applyFont="1" applyFill="1" applyBorder="1" applyAlignment="1">
      <alignment horizontal="right" vertical="center"/>
    </xf>
    <xf numFmtId="3" fontId="16" fillId="5" borderId="7" xfId="14" applyNumberFormat="1" applyFont="1" applyFill="1" applyBorder="1" applyAlignment="1">
      <alignment horizontal="right" vertical="center"/>
    </xf>
    <xf numFmtId="3" fontId="16" fillId="5" borderId="21" xfId="14" applyNumberFormat="1" applyFont="1" applyFill="1" applyBorder="1" applyAlignment="1">
      <alignment horizontal="right" vertical="center"/>
    </xf>
    <xf numFmtId="3" fontId="23" fillId="5" borderId="15" xfId="14" applyNumberFormat="1" applyFont="1" applyFill="1" applyBorder="1" applyAlignment="1">
      <alignment horizontal="right" vertical="center"/>
    </xf>
    <xf numFmtId="3" fontId="23" fillId="5" borderId="25" xfId="14" applyNumberFormat="1" applyFont="1" applyFill="1" applyBorder="1" applyAlignment="1">
      <alignment horizontal="right" vertical="center"/>
    </xf>
    <xf numFmtId="3" fontId="23" fillId="0" borderId="15" xfId="14" applyNumberFormat="1" applyFont="1" applyBorder="1" applyAlignment="1">
      <alignment horizontal="right" vertical="center"/>
    </xf>
    <xf numFmtId="3" fontId="23" fillId="0" borderId="25" xfId="14" applyNumberFormat="1" applyFont="1" applyBorder="1" applyAlignment="1">
      <alignment horizontal="right" vertical="center"/>
    </xf>
    <xf numFmtId="3" fontId="16" fillId="5" borderId="8" xfId="14" applyNumberFormat="1" applyFont="1" applyFill="1" applyBorder="1" applyAlignment="1">
      <alignment horizontal="right" vertical="center"/>
    </xf>
    <xf numFmtId="3" fontId="16" fillId="5" borderId="22" xfId="14" applyNumberFormat="1" applyFont="1" applyFill="1" applyBorder="1" applyAlignment="1">
      <alignment horizontal="right" vertical="center"/>
    </xf>
    <xf numFmtId="3" fontId="16" fillId="5" borderId="15" xfId="14" applyNumberFormat="1" applyFont="1" applyFill="1" applyBorder="1" applyAlignment="1">
      <alignment horizontal="right" vertical="center"/>
    </xf>
    <xf numFmtId="3" fontId="16" fillId="5" borderId="25" xfId="14" applyNumberFormat="1" applyFont="1" applyFill="1" applyBorder="1" applyAlignment="1">
      <alignment horizontal="right" vertical="center"/>
    </xf>
    <xf numFmtId="3" fontId="23" fillId="5" borderId="8" xfId="14" applyNumberFormat="1" applyFont="1" applyFill="1" applyBorder="1" applyAlignment="1">
      <alignment horizontal="right" vertical="center"/>
    </xf>
    <xf numFmtId="3" fontId="23" fillId="5" borderId="22" xfId="14" applyNumberFormat="1" applyFont="1" applyFill="1" applyBorder="1" applyAlignment="1">
      <alignment horizontal="right" vertical="center"/>
    </xf>
    <xf numFmtId="3" fontId="16" fillId="5" borderId="9" xfId="14" applyNumberFormat="1" applyFont="1" applyFill="1" applyBorder="1" applyAlignment="1">
      <alignment horizontal="right" vertical="center"/>
    </xf>
    <xf numFmtId="3" fontId="16" fillId="5" borderId="26" xfId="14" applyNumberFormat="1" applyFont="1" applyFill="1" applyBorder="1" applyAlignment="1">
      <alignment horizontal="right" vertical="center"/>
    </xf>
    <xf numFmtId="3" fontId="13" fillId="5" borderId="9" xfId="14" applyNumberFormat="1" applyFont="1" applyFill="1" applyBorder="1" applyAlignment="1">
      <alignment horizontal="right" vertical="center"/>
    </xf>
    <xf numFmtId="3" fontId="13" fillId="5" borderId="26" xfId="14" applyNumberFormat="1" applyFont="1" applyFill="1" applyBorder="1" applyAlignment="1">
      <alignment horizontal="right" vertical="center"/>
    </xf>
    <xf numFmtId="3" fontId="17" fillId="3" borderId="12" xfId="14" applyNumberFormat="1" applyFont="1" applyFill="1" applyBorder="1" applyAlignment="1">
      <alignment horizontal="right" vertical="center"/>
    </xf>
    <xf numFmtId="3" fontId="23" fillId="5" borderId="9" xfId="14" applyNumberFormat="1" applyFont="1" applyFill="1" applyBorder="1" applyAlignment="1">
      <alignment horizontal="right" vertical="center"/>
    </xf>
    <xf numFmtId="3" fontId="23" fillId="5" borderId="26" xfId="14" applyNumberFormat="1" applyFont="1" applyFill="1" applyBorder="1" applyAlignment="1">
      <alignment horizontal="right" vertical="center"/>
    </xf>
    <xf numFmtId="3" fontId="23" fillId="0" borderId="13" xfId="14" applyNumberFormat="1" applyFont="1" applyBorder="1" applyAlignment="1">
      <alignment horizontal="right" vertical="center"/>
    </xf>
    <xf numFmtId="3" fontId="24" fillId="3" borderId="18" xfId="14" applyNumberFormat="1" applyFont="1" applyFill="1" applyBorder="1" applyAlignment="1">
      <alignment horizontal="right" vertical="center"/>
    </xf>
    <xf numFmtId="3" fontId="23" fillId="0" borderId="22" xfId="14" applyNumberFormat="1" applyFont="1" applyBorder="1" applyAlignment="1">
      <alignment vertical="center"/>
    </xf>
    <xf numFmtId="3" fontId="23" fillId="0" borderId="26" xfId="14" applyNumberFormat="1" applyFont="1" applyBorder="1" applyAlignment="1">
      <alignment vertical="center"/>
    </xf>
    <xf numFmtId="3" fontId="23" fillId="0" borderId="9" xfId="14" applyNumberFormat="1" applyFont="1" applyBorder="1" applyAlignment="1">
      <alignment horizontal="right" vertical="center"/>
    </xf>
    <xf numFmtId="3" fontId="23" fillId="0" borderId="26" xfId="14" applyNumberFormat="1" applyFont="1" applyBorder="1" applyAlignment="1">
      <alignment horizontal="right" vertical="center"/>
    </xf>
    <xf numFmtId="3" fontId="16" fillId="0" borderId="20" xfId="14" applyNumberFormat="1" applyFont="1" applyBorder="1" applyAlignment="1">
      <alignment horizontal="right" vertical="center"/>
    </xf>
    <xf numFmtId="3" fontId="16" fillId="0" borderId="23" xfId="14" applyNumberFormat="1" applyFont="1" applyBorder="1" applyAlignment="1">
      <alignment horizontal="right" vertical="center"/>
    </xf>
    <xf numFmtId="3" fontId="16" fillId="3" borderId="62" xfId="14" applyNumberFormat="1" applyFont="1" applyFill="1" applyBorder="1" applyAlignment="1">
      <alignment horizontal="right" vertical="center"/>
    </xf>
    <xf numFmtId="3" fontId="16" fillId="0" borderId="25" xfId="14" applyNumberFormat="1" applyFont="1" applyBorder="1" applyAlignment="1">
      <alignment horizontal="right" vertical="center"/>
    </xf>
    <xf numFmtId="3" fontId="16" fillId="0" borderId="63" xfId="14" applyNumberFormat="1" applyFont="1" applyBorder="1" applyAlignment="1">
      <alignment horizontal="right" vertical="center"/>
    </xf>
    <xf numFmtId="3" fontId="23" fillId="0" borderId="70" xfId="14" applyNumberFormat="1" applyFont="1" applyBorder="1" applyAlignment="1">
      <alignment horizontal="right" vertical="center"/>
    </xf>
    <xf numFmtId="3" fontId="16" fillId="0" borderId="70" xfId="14" applyNumberFormat="1" applyFont="1" applyBorder="1" applyAlignment="1">
      <alignment horizontal="right" vertical="center"/>
    </xf>
    <xf numFmtId="3" fontId="23" fillId="0" borderId="71" xfId="14" applyNumberFormat="1" applyFont="1" applyBorder="1" applyAlignment="1">
      <alignment horizontal="right" vertical="center"/>
    </xf>
    <xf numFmtId="3" fontId="23" fillId="0" borderId="19" xfId="14" applyNumberFormat="1" applyFont="1" applyBorder="1" applyAlignment="1">
      <alignment horizontal="right" vertical="center"/>
    </xf>
    <xf numFmtId="3" fontId="23" fillId="0" borderId="20" xfId="14" applyNumberFormat="1" applyFont="1" applyBorder="1" applyAlignment="1">
      <alignment horizontal="right" vertical="center"/>
    </xf>
    <xf numFmtId="3" fontId="23" fillId="0" borderId="79" xfId="14" applyNumberFormat="1" applyFont="1" applyBorder="1" applyAlignment="1">
      <alignment horizontal="right" vertical="center"/>
    </xf>
    <xf numFmtId="3" fontId="16" fillId="0" borderId="69" xfId="14" applyNumberFormat="1" applyFont="1" applyBorder="1" applyAlignment="1">
      <alignment horizontal="right" vertical="center"/>
    </xf>
    <xf numFmtId="3" fontId="16" fillId="0" borderId="77" xfId="14" applyNumberFormat="1" applyFont="1" applyBorder="1" applyAlignment="1">
      <alignment horizontal="right" vertical="center"/>
    </xf>
    <xf numFmtId="3" fontId="23" fillId="5" borderId="2" xfId="14" applyNumberFormat="1" applyFont="1" applyFill="1" applyBorder="1" applyAlignment="1">
      <alignment horizontal="right" vertical="center"/>
    </xf>
    <xf numFmtId="3" fontId="16" fillId="0" borderId="0" xfId="14" applyNumberFormat="1" applyFont="1" applyAlignment="1">
      <alignment horizontal="right" vertical="center"/>
    </xf>
    <xf numFmtId="3" fontId="16" fillId="3" borderId="28" xfId="14" applyNumberFormat="1" applyFont="1" applyFill="1" applyBorder="1" applyAlignment="1">
      <alignment horizontal="right" vertical="center"/>
    </xf>
    <xf numFmtId="3" fontId="16" fillId="0" borderId="75" xfId="14" applyNumberFormat="1" applyFont="1" applyBorder="1" applyAlignment="1">
      <alignment vertical="center"/>
    </xf>
    <xf numFmtId="3" fontId="16" fillId="3" borderId="14" xfId="14" applyNumberFormat="1" applyFont="1" applyFill="1" applyBorder="1" applyAlignment="1">
      <alignment vertical="center"/>
    </xf>
    <xf numFmtId="3" fontId="16" fillId="0" borderId="77" xfId="14" applyNumberFormat="1" applyFont="1" applyBorder="1" applyAlignment="1">
      <alignment vertical="center"/>
    </xf>
    <xf numFmtId="3" fontId="16" fillId="3" borderId="18" xfId="14" applyNumberFormat="1" applyFont="1" applyFill="1" applyBorder="1" applyAlignment="1">
      <alignment vertical="center"/>
    </xf>
    <xf numFmtId="3" fontId="23" fillId="0" borderId="4" xfId="14" applyNumberFormat="1" applyFont="1" applyBorder="1" applyAlignment="1">
      <alignment horizontal="right" vertical="center"/>
    </xf>
    <xf numFmtId="3" fontId="23" fillId="0" borderId="29" xfId="14" applyNumberFormat="1" applyFont="1" applyBorder="1" applyAlignment="1">
      <alignment horizontal="right" vertical="center"/>
    </xf>
    <xf numFmtId="3" fontId="23" fillId="0" borderId="27" xfId="14" applyNumberFormat="1" applyFont="1" applyBorder="1" applyAlignment="1">
      <alignment horizontal="right" vertical="center"/>
    </xf>
    <xf numFmtId="3" fontId="16" fillId="0" borderId="50" xfId="14" applyNumberFormat="1" applyFont="1" applyBorder="1" applyAlignment="1">
      <alignment horizontal="right" vertical="center"/>
    </xf>
    <xf numFmtId="3" fontId="16" fillId="6" borderId="48" xfId="14" applyNumberFormat="1" applyFont="1" applyFill="1" applyBorder="1" applyAlignment="1">
      <alignment horizontal="right" vertical="center"/>
    </xf>
    <xf numFmtId="3" fontId="13" fillId="0" borderId="22" xfId="14" applyNumberFormat="1" applyFont="1" applyBorder="1" applyAlignment="1">
      <alignment horizontal="right" vertical="center"/>
    </xf>
    <xf numFmtId="3" fontId="16" fillId="0" borderId="51" xfId="14" applyNumberFormat="1" applyFont="1" applyBorder="1" applyAlignment="1">
      <alignment horizontal="right" vertical="center"/>
    </xf>
    <xf numFmtId="3" fontId="13" fillId="0" borderId="3" xfId="14" applyNumberFormat="1" applyFont="1" applyBorder="1" applyAlignment="1">
      <alignment horizontal="right" vertical="center"/>
    </xf>
    <xf numFmtId="3" fontId="13" fillId="0" borderId="9" xfId="14" applyNumberFormat="1" applyFont="1" applyBorder="1" applyAlignment="1">
      <alignment horizontal="right" vertical="center"/>
    </xf>
    <xf numFmtId="3" fontId="13" fillId="0" borderId="26" xfId="14" applyNumberFormat="1" applyFont="1" applyBorder="1" applyAlignment="1">
      <alignment horizontal="right" vertical="center"/>
    </xf>
    <xf numFmtId="3" fontId="17" fillId="3" borderId="18" xfId="14" applyNumberFormat="1" applyFont="1" applyFill="1" applyBorder="1" applyAlignment="1">
      <alignment horizontal="right" vertical="center"/>
    </xf>
    <xf numFmtId="3" fontId="13" fillId="5" borderId="2" xfId="14" applyNumberFormat="1" applyFont="1" applyFill="1" applyBorder="1" applyAlignment="1">
      <alignment horizontal="right" vertical="center"/>
    </xf>
    <xf numFmtId="3" fontId="13" fillId="5" borderId="8" xfId="14" applyNumberFormat="1" applyFont="1" applyFill="1" applyBorder="1" applyAlignment="1">
      <alignment horizontal="right" vertical="center"/>
    </xf>
    <xf numFmtId="3" fontId="13" fillId="0" borderId="15" xfId="14" applyNumberFormat="1" applyFont="1" applyBorder="1" applyAlignment="1">
      <alignment horizontal="right" vertical="center"/>
    </xf>
    <xf numFmtId="3" fontId="13" fillId="0" borderId="25" xfId="14" applyNumberFormat="1" applyFont="1" applyBorder="1" applyAlignment="1">
      <alignment horizontal="right" vertical="center"/>
    </xf>
    <xf numFmtId="3" fontId="13" fillId="0" borderId="13" xfId="14" applyNumberFormat="1" applyFont="1" applyBorder="1" applyAlignment="1">
      <alignment horizontal="right" vertical="center"/>
    </xf>
    <xf numFmtId="3" fontId="17" fillId="0" borderId="2" xfId="14" applyNumberFormat="1" applyFont="1" applyBorder="1" applyAlignment="1">
      <alignment horizontal="right" vertical="center"/>
    </xf>
    <xf numFmtId="3" fontId="16" fillId="5" borderId="41" xfId="14" applyNumberFormat="1" applyFont="1" applyFill="1" applyBorder="1" applyAlignment="1">
      <alignment horizontal="right" vertical="center"/>
    </xf>
    <xf numFmtId="3" fontId="16" fillId="0" borderId="45" xfId="14" applyNumberFormat="1" applyFont="1" applyBorder="1" applyAlignment="1">
      <alignment vertical="center"/>
    </xf>
    <xf numFmtId="3" fontId="16" fillId="0" borderId="42" xfId="14" applyNumberFormat="1" applyFont="1" applyBorder="1" applyAlignment="1">
      <alignment vertical="center"/>
    </xf>
    <xf numFmtId="3" fontId="23" fillId="0" borderId="41" xfId="14" applyNumberFormat="1" applyFont="1" applyBorder="1" applyAlignment="1">
      <alignment vertical="center"/>
    </xf>
    <xf numFmtId="3" fontId="16" fillId="0" borderId="41" xfId="14" applyNumberFormat="1" applyFont="1" applyBorder="1" applyAlignment="1">
      <alignment vertical="center"/>
    </xf>
    <xf numFmtId="3" fontId="16" fillId="0" borderId="20" xfId="14" applyNumberFormat="1" applyFont="1" applyBorder="1" applyAlignment="1">
      <alignment vertical="center"/>
    </xf>
    <xf numFmtId="3" fontId="16" fillId="0" borderId="46" xfId="14" applyNumberFormat="1" applyFont="1" applyBorder="1" applyAlignment="1">
      <alignment vertical="center"/>
    </xf>
    <xf numFmtId="3" fontId="11" fillId="0" borderId="9" xfId="14" applyNumberFormat="1" applyFont="1" applyBorder="1" applyAlignment="1">
      <alignment horizontal="right" vertical="center"/>
    </xf>
    <xf numFmtId="3" fontId="11" fillId="0" borderId="26" xfId="14" applyNumberFormat="1" applyFont="1" applyBorder="1" applyAlignment="1">
      <alignment horizontal="right" vertical="center"/>
    </xf>
    <xf numFmtId="3" fontId="16" fillId="0" borderId="67" xfId="14" applyNumberFormat="1" applyFont="1" applyBorder="1" applyAlignment="1">
      <alignment horizontal="right" vertical="center"/>
    </xf>
    <xf numFmtId="3" fontId="16" fillId="12" borderId="14" xfId="14" applyNumberFormat="1" applyFont="1" applyFill="1" applyBorder="1" applyAlignment="1">
      <alignment horizontal="right" vertical="center"/>
    </xf>
    <xf numFmtId="3" fontId="23" fillId="0" borderId="0" xfId="14" applyNumberFormat="1" applyFont="1" applyAlignment="1">
      <alignment horizontal="right" vertical="center"/>
    </xf>
    <xf numFmtId="3" fontId="23" fillId="0" borderId="57" xfId="14" applyNumberFormat="1" applyFont="1" applyBorder="1" applyAlignment="1">
      <alignment horizontal="right" vertical="center"/>
    </xf>
    <xf numFmtId="3" fontId="23" fillId="0" borderId="37" xfId="14" applyNumberFormat="1" applyFont="1" applyBorder="1" applyAlignment="1">
      <alignment horizontal="right" vertical="center"/>
    </xf>
    <xf numFmtId="14" fontId="16" fillId="0" borderId="56" xfId="0" applyNumberFormat="1" applyFont="1" applyBorder="1" applyAlignment="1">
      <alignment horizontal="center" vertical="center" wrapText="1"/>
    </xf>
    <xf numFmtId="3" fontId="16" fillId="0" borderId="5" xfId="0" applyNumberFormat="1" applyFont="1" applyBorder="1" applyAlignment="1">
      <alignment horizontal="center" vertical="center"/>
    </xf>
    <xf numFmtId="169" fontId="13" fillId="0" borderId="0" xfId="0" applyNumberFormat="1" applyFont="1" applyAlignment="1">
      <alignment vertical="center"/>
    </xf>
    <xf numFmtId="4" fontId="49" fillId="3" borderId="12" xfId="0" applyNumberFormat="1" applyFont="1" applyFill="1" applyBorder="1" applyAlignment="1">
      <alignment vertical="center"/>
    </xf>
    <xf numFmtId="0" fontId="50" fillId="7" borderId="47" xfId="0" applyFont="1" applyFill="1" applyBorder="1" applyAlignment="1">
      <alignment vertical="center" wrapText="1"/>
    </xf>
    <xf numFmtId="4" fontId="50" fillId="7" borderId="2" xfId="0" applyNumberFormat="1" applyFont="1" applyFill="1" applyBorder="1" applyAlignment="1">
      <alignment vertical="center"/>
    </xf>
    <xf numFmtId="4" fontId="50" fillId="7" borderId="41" xfId="0" applyNumberFormat="1" applyFont="1" applyFill="1" applyBorder="1" applyAlignment="1">
      <alignment vertical="center"/>
    </xf>
    <xf numFmtId="4" fontId="50" fillId="7" borderId="8" xfId="0" applyNumberFormat="1" applyFont="1" applyFill="1" applyBorder="1" applyAlignment="1">
      <alignment vertical="center"/>
    </xf>
    <xf numFmtId="0" fontId="50" fillId="8" borderId="47" xfId="0" applyFont="1" applyFill="1" applyBorder="1" applyAlignment="1">
      <alignment vertical="center" wrapText="1"/>
    </xf>
    <xf numFmtId="4" fontId="50" fillId="8" borderId="2" xfId="0" applyNumberFormat="1" applyFont="1" applyFill="1" applyBorder="1" applyAlignment="1">
      <alignment vertical="center"/>
    </xf>
    <xf numFmtId="4" fontId="50" fillId="8" borderId="50" xfId="0" applyNumberFormat="1" applyFont="1" applyFill="1" applyBorder="1" applyAlignment="1">
      <alignment vertical="center"/>
    </xf>
    <xf numFmtId="4" fontId="50" fillId="8" borderId="8" xfId="0" applyNumberFormat="1" applyFont="1" applyFill="1" applyBorder="1" applyAlignment="1">
      <alignment vertical="center"/>
    </xf>
    <xf numFmtId="4" fontId="50" fillId="8" borderId="41" xfId="0" applyNumberFormat="1" applyFont="1" applyFill="1" applyBorder="1" applyAlignment="1">
      <alignment vertical="center"/>
    </xf>
    <xf numFmtId="165" fontId="15" fillId="6" borderId="10" xfId="0" applyNumberFormat="1" applyFont="1" applyFill="1" applyBorder="1" applyAlignment="1">
      <alignment horizontal="right" vertical="center"/>
    </xf>
    <xf numFmtId="3" fontId="17" fillId="3" borderId="18" xfId="0" applyNumberFormat="1" applyFont="1" applyFill="1" applyBorder="1"/>
    <xf numFmtId="3" fontId="17" fillId="3" borderId="11" xfId="0" applyNumberFormat="1" applyFont="1" applyFill="1" applyBorder="1"/>
    <xf numFmtId="3" fontId="27" fillId="3" borderId="18" xfId="0" applyNumberFormat="1" applyFont="1" applyFill="1" applyBorder="1"/>
    <xf numFmtId="3" fontId="27" fillId="3" borderId="12" xfId="0" applyNumberFormat="1" applyFont="1" applyFill="1" applyBorder="1"/>
    <xf numFmtId="3" fontId="27" fillId="3" borderId="11" xfId="0" applyNumberFormat="1" applyFont="1" applyFill="1" applyBorder="1"/>
    <xf numFmtId="3" fontId="48" fillId="3" borderId="10" xfId="0" applyNumberFormat="1" applyFont="1" applyFill="1" applyBorder="1"/>
    <xf numFmtId="4" fontId="16" fillId="0" borderId="36" xfId="0" applyNumberFormat="1" applyFont="1" applyBorder="1"/>
    <xf numFmtId="3" fontId="13" fillId="0" borderId="17" xfId="0" applyNumberFormat="1" applyFont="1" applyBorder="1"/>
    <xf numFmtId="0" fontId="38" fillId="0" borderId="0" xfId="0" applyFont="1"/>
    <xf numFmtId="4" fontId="23" fillId="5" borderId="15" xfId="0" applyNumberFormat="1" applyFont="1" applyFill="1" applyBorder="1" applyAlignment="1">
      <alignment vertical="center"/>
    </xf>
    <xf numFmtId="0" fontId="23" fillId="0" borderId="77" xfId="0" applyFont="1" applyBorder="1" applyAlignment="1">
      <alignment vertical="center" wrapText="1"/>
    </xf>
    <xf numFmtId="166" fontId="13" fillId="0" borderId="0" xfId="0" applyNumberFormat="1" applyFont="1" applyAlignment="1">
      <alignment vertical="center"/>
    </xf>
    <xf numFmtId="4" fontId="16" fillId="0" borderId="8" xfId="14" applyNumberFormat="1" applyFont="1" applyBorder="1" applyAlignment="1">
      <alignment vertical="center"/>
    </xf>
    <xf numFmtId="4" fontId="13" fillId="8" borderId="12" xfId="0" applyNumberFormat="1" applyFont="1" applyFill="1" applyBorder="1" applyAlignment="1">
      <alignment vertical="center"/>
    </xf>
    <xf numFmtId="165" fontId="17" fillId="0" borderId="21" xfId="0" applyNumberFormat="1" applyFont="1" applyBorder="1" applyAlignment="1">
      <alignment vertical="center"/>
    </xf>
    <xf numFmtId="0" fontId="23" fillId="5" borderId="70" xfId="14" applyFont="1" applyFill="1" applyBorder="1" applyAlignment="1">
      <alignment vertical="center" wrapText="1"/>
    </xf>
    <xf numFmtId="3" fontId="24" fillId="3" borderId="18" xfId="14" applyNumberFormat="1" applyFont="1" applyFill="1" applyBorder="1" applyAlignment="1">
      <alignment vertical="center"/>
    </xf>
    <xf numFmtId="166" fontId="23" fillId="0" borderId="13" xfId="15" applyNumberFormat="1" applyFont="1" applyBorder="1" applyAlignment="1">
      <alignment vertical="center"/>
    </xf>
    <xf numFmtId="166" fontId="23" fillId="0" borderId="42" xfId="14" applyNumberFormat="1" applyFont="1" applyBorder="1" applyAlignment="1">
      <alignment vertical="center" wrapText="1"/>
    </xf>
    <xf numFmtId="3" fontId="24" fillId="3" borderId="62" xfId="14" applyNumberFormat="1" applyFont="1" applyFill="1" applyBorder="1" applyAlignment="1">
      <alignment horizontal="right" vertical="center"/>
    </xf>
    <xf numFmtId="3" fontId="13" fillId="0" borderId="22" xfId="0" applyNumberFormat="1" applyFont="1" applyBorder="1"/>
    <xf numFmtId="0" fontId="34" fillId="0" borderId="0" xfId="0" applyFont="1" applyAlignment="1">
      <alignment horizontal="center"/>
    </xf>
    <xf numFmtId="0" fontId="32" fillId="0" borderId="0" xfId="0" applyFont="1" applyAlignment="1">
      <alignment horizontal="center"/>
    </xf>
    <xf numFmtId="0" fontId="18" fillId="0" borderId="0" xfId="0" applyFont="1" applyAlignment="1">
      <alignment horizontal="left" vertical="center" wrapText="1"/>
    </xf>
    <xf numFmtId="3" fontId="16" fillId="6" borderId="54" xfId="1" applyNumberFormat="1" applyFont="1" applyFill="1" applyBorder="1" applyAlignment="1">
      <alignment horizontal="center" vertical="center" wrapText="1"/>
    </xf>
    <xf numFmtId="3" fontId="16" fillId="6" borderId="21" xfId="1" applyNumberFormat="1" applyFont="1" applyFill="1" applyBorder="1" applyAlignment="1">
      <alignment horizontal="center" vertical="center" wrapText="1"/>
    </xf>
    <xf numFmtId="0" fontId="16" fillId="6" borderId="53" xfId="1" applyFont="1" applyFill="1" applyBorder="1" applyAlignment="1">
      <alignment horizontal="center" vertical="center"/>
    </xf>
    <xf numFmtId="0" fontId="16" fillId="6" borderId="33" xfId="1" applyFont="1" applyFill="1" applyBorder="1" applyAlignment="1">
      <alignment horizontal="center" vertical="center"/>
    </xf>
    <xf numFmtId="3" fontId="16" fillId="6" borderId="69" xfId="1" applyNumberFormat="1" applyFont="1" applyFill="1" applyBorder="1" applyAlignment="1">
      <alignment horizontal="center" vertical="center" wrapText="1"/>
    </xf>
    <xf numFmtId="3" fontId="16" fillId="3" borderId="40" xfId="1" applyNumberFormat="1" applyFont="1" applyFill="1" applyBorder="1" applyAlignment="1">
      <alignment horizontal="center" vertical="center" wrapText="1"/>
    </xf>
    <xf numFmtId="3" fontId="16" fillId="3" borderId="61" xfId="1" applyNumberFormat="1" applyFont="1" applyFill="1" applyBorder="1" applyAlignment="1">
      <alignment horizontal="center" vertical="center" wrapText="1"/>
    </xf>
    <xf numFmtId="0" fontId="11" fillId="6" borderId="40" xfId="1" applyFont="1" applyFill="1" applyBorder="1" applyAlignment="1">
      <alignment horizontal="center" vertical="center" wrapText="1"/>
    </xf>
    <xf numFmtId="0" fontId="11" fillId="6" borderId="61" xfId="1" applyFont="1" applyFill="1" applyBorder="1" applyAlignment="1">
      <alignment horizontal="center" vertical="center" wrapText="1"/>
    </xf>
    <xf numFmtId="0" fontId="16" fillId="8" borderId="54" xfId="0" applyFont="1" applyFill="1" applyBorder="1" applyAlignment="1">
      <alignment vertical="center" wrapText="1"/>
    </xf>
    <xf numFmtId="0" fontId="16" fillId="8" borderId="69" xfId="0" applyFont="1" applyFill="1" applyBorder="1" applyAlignment="1">
      <alignment vertical="center" wrapText="1"/>
    </xf>
    <xf numFmtId="0" fontId="16" fillId="8" borderId="21" xfId="0" applyFont="1" applyFill="1" applyBorder="1" applyAlignment="1">
      <alignment vertical="center" wrapText="1"/>
    </xf>
    <xf numFmtId="0" fontId="17" fillId="7" borderId="54" xfId="0" applyFont="1" applyFill="1" applyBorder="1" applyAlignment="1">
      <alignment horizontal="left" vertical="center" wrapText="1"/>
    </xf>
    <xf numFmtId="0" fontId="17" fillId="7" borderId="69" xfId="0" applyFont="1" applyFill="1" applyBorder="1" applyAlignment="1">
      <alignment horizontal="left" vertical="center" wrapText="1"/>
    </xf>
    <xf numFmtId="0" fontId="17" fillId="7" borderId="21" xfId="0" applyFont="1" applyFill="1" applyBorder="1" applyAlignment="1">
      <alignment horizontal="left" vertical="center" wrapText="1"/>
    </xf>
    <xf numFmtId="0" fontId="16" fillId="7" borderId="54" xfId="0" applyFont="1" applyFill="1" applyBorder="1" applyAlignment="1">
      <alignment vertical="center" wrapText="1"/>
    </xf>
    <xf numFmtId="0" fontId="16" fillId="7" borderId="69" xfId="0" applyFont="1" applyFill="1" applyBorder="1" applyAlignment="1">
      <alignment vertical="center" wrapText="1"/>
    </xf>
    <xf numFmtId="0" fontId="16" fillId="7" borderId="21" xfId="0" applyFont="1" applyFill="1" applyBorder="1" applyAlignment="1">
      <alignment vertical="center" wrapText="1"/>
    </xf>
    <xf numFmtId="0" fontId="16" fillId="6" borderId="40" xfId="1" applyFont="1" applyFill="1" applyBorder="1" applyAlignment="1">
      <alignment horizontal="center" vertical="center"/>
    </xf>
    <xf numFmtId="0" fontId="16" fillId="6" borderId="61" xfId="1" applyFont="1" applyFill="1" applyBorder="1" applyAlignment="1">
      <alignment horizontal="center" vertical="center"/>
    </xf>
    <xf numFmtId="0" fontId="17" fillId="8" borderId="54" xfId="0" applyFont="1" applyFill="1" applyBorder="1" applyAlignment="1">
      <alignment horizontal="left" vertical="center" wrapText="1"/>
    </xf>
    <xf numFmtId="0" fontId="17" fillId="8" borderId="69" xfId="0" applyFont="1" applyFill="1" applyBorder="1" applyAlignment="1">
      <alignment horizontal="left" vertical="center" wrapText="1"/>
    </xf>
    <xf numFmtId="0" fontId="17" fillId="8" borderId="21" xfId="0" applyFont="1" applyFill="1" applyBorder="1" applyAlignment="1">
      <alignment horizontal="left" vertical="center" wrapText="1"/>
    </xf>
    <xf numFmtId="3" fontId="16" fillId="6" borderId="76" xfId="1" applyNumberFormat="1" applyFont="1" applyFill="1" applyBorder="1" applyAlignment="1">
      <alignment horizontal="center" vertical="center" wrapText="1"/>
    </xf>
    <xf numFmtId="3" fontId="16" fillId="6" borderId="78" xfId="1" applyNumberFormat="1" applyFont="1" applyFill="1" applyBorder="1" applyAlignment="1">
      <alignment horizontal="center" vertical="center" wrapText="1"/>
    </xf>
    <xf numFmtId="49" fontId="14" fillId="0" borderId="0" xfId="2" applyNumberFormat="1" applyFont="1" applyAlignment="1">
      <alignment horizontal="left" vertical="center"/>
    </xf>
    <xf numFmtId="49" fontId="21" fillId="0" borderId="0" xfId="2" applyNumberFormat="1" applyFont="1" applyAlignment="1">
      <alignment horizontal="left" vertical="center"/>
    </xf>
    <xf numFmtId="0" fontId="16" fillId="6" borderId="32" xfId="1" applyFont="1" applyFill="1" applyBorder="1" applyAlignment="1">
      <alignment horizontal="center" vertical="center"/>
    </xf>
    <xf numFmtId="0" fontId="16" fillId="6" borderId="31" xfId="1" applyFont="1" applyFill="1" applyBorder="1" applyAlignment="1">
      <alignment horizontal="center" vertical="center"/>
    </xf>
    <xf numFmtId="0" fontId="16" fillId="3" borderId="39"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6" borderId="40" xfId="1" applyFont="1" applyFill="1" applyBorder="1" applyAlignment="1">
      <alignment horizontal="center" vertical="center" wrapText="1"/>
    </xf>
    <xf numFmtId="0" fontId="16" fillId="6" borderId="61" xfId="1" applyFont="1" applyFill="1" applyBorder="1" applyAlignment="1">
      <alignment horizontal="center" vertical="center" wrapText="1"/>
    </xf>
    <xf numFmtId="0" fontId="16" fillId="6" borderId="69" xfId="0" applyFont="1" applyFill="1" applyBorder="1" applyAlignment="1">
      <alignment horizontal="center" vertical="center"/>
    </xf>
    <xf numFmtId="3" fontId="16" fillId="3" borderId="76" xfId="0" applyNumberFormat="1" applyFont="1" applyFill="1" applyBorder="1" applyAlignment="1">
      <alignment horizontal="center" vertical="center" wrapText="1"/>
    </xf>
    <xf numFmtId="3" fontId="16" fillId="3" borderId="78" xfId="0" applyNumberFormat="1" applyFont="1" applyFill="1" applyBorder="1" applyAlignment="1">
      <alignment horizontal="center" vertical="center" wrapText="1"/>
    </xf>
    <xf numFmtId="3" fontId="16" fillId="6" borderId="40" xfId="1" applyNumberFormat="1" applyFont="1" applyFill="1" applyBorder="1" applyAlignment="1">
      <alignment horizontal="center" vertical="center" wrapText="1"/>
    </xf>
    <xf numFmtId="3" fontId="16" fillId="6" borderId="61" xfId="1" applyNumberFormat="1"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4" fillId="0" borderId="0" xfId="1" applyFont="1" applyAlignment="1">
      <alignment vertical="center" wrapText="1"/>
    </xf>
    <xf numFmtId="3" fontId="16" fillId="3" borderId="40" xfId="0" applyNumberFormat="1" applyFont="1" applyFill="1" applyBorder="1" applyAlignment="1">
      <alignment horizontal="center" vertical="center" wrapText="1"/>
    </xf>
    <xf numFmtId="3" fontId="16" fillId="3" borderId="61" xfId="0" applyNumberFormat="1" applyFont="1" applyFill="1" applyBorder="1" applyAlignment="1">
      <alignment horizontal="center" vertical="center" wrapText="1"/>
    </xf>
    <xf numFmtId="3" fontId="17" fillId="0" borderId="40" xfId="0" applyNumberFormat="1" applyFont="1" applyBorder="1" applyAlignment="1">
      <alignment vertical="center" wrapText="1"/>
    </xf>
    <xf numFmtId="3" fontId="17" fillId="0" borderId="28" xfId="0" applyNumberFormat="1" applyFont="1" applyBorder="1" applyAlignment="1">
      <alignment vertical="center" wrapText="1"/>
    </xf>
    <xf numFmtId="3" fontId="17" fillId="0" borderId="61" xfId="0" applyNumberFormat="1" applyFont="1" applyBorder="1" applyAlignment="1">
      <alignment vertical="center" wrapText="1"/>
    </xf>
    <xf numFmtId="14" fontId="17" fillId="0" borderId="40" xfId="0" applyNumberFormat="1" applyFont="1" applyBorder="1" applyAlignment="1">
      <alignment horizontal="center" vertical="center" wrapText="1"/>
    </xf>
    <xf numFmtId="14" fontId="17" fillId="0" borderId="28" xfId="0" applyNumberFormat="1" applyFont="1" applyBorder="1" applyAlignment="1">
      <alignment horizontal="center" vertical="center" wrapText="1"/>
    </xf>
    <xf numFmtId="14" fontId="17" fillId="0" borderId="61" xfId="0" applyNumberFormat="1" applyFont="1" applyBorder="1" applyAlignment="1">
      <alignment horizontal="center" vertical="center" wrapText="1"/>
    </xf>
    <xf numFmtId="0" fontId="23" fillId="0" borderId="4" xfId="0" applyFont="1" applyBorder="1" applyAlignment="1">
      <alignment vertical="top"/>
    </xf>
    <xf numFmtId="0" fontId="23" fillId="0" borderId="31" xfId="0" applyFont="1" applyBorder="1" applyAlignment="1">
      <alignment vertical="top"/>
    </xf>
    <xf numFmtId="3" fontId="16" fillId="0" borderId="40" xfId="0" applyNumberFormat="1" applyFont="1" applyBorder="1" applyAlignment="1">
      <alignment horizontal="center" vertical="center"/>
    </xf>
    <xf numFmtId="3" fontId="16" fillId="0" borderId="28" xfId="0" applyNumberFormat="1" applyFont="1" applyBorder="1" applyAlignment="1">
      <alignment horizontal="center" vertical="center"/>
    </xf>
    <xf numFmtId="3" fontId="16" fillId="0" borderId="61" xfId="0" applyNumberFormat="1" applyFont="1" applyBorder="1" applyAlignment="1">
      <alignment horizontal="center" vertical="center"/>
    </xf>
    <xf numFmtId="0" fontId="17" fillId="0" borderId="54" xfId="0" applyFont="1" applyBorder="1" applyAlignment="1">
      <alignment vertical="center" wrapText="1"/>
    </xf>
    <xf numFmtId="0" fontId="17" fillId="0" borderId="69" xfId="0" applyFont="1" applyBorder="1" applyAlignment="1">
      <alignment vertical="center" wrapText="1"/>
    </xf>
    <xf numFmtId="0" fontId="23" fillId="0" borderId="3" xfId="0" applyFont="1" applyBorder="1" applyAlignment="1">
      <alignment vertical="top"/>
    </xf>
    <xf numFmtId="0" fontId="16" fillId="0" borderId="56" xfId="0" applyFont="1" applyBorder="1" applyAlignment="1">
      <alignment vertical="center" wrapText="1"/>
    </xf>
    <xf numFmtId="0" fontId="16" fillId="0" borderId="24" xfId="0" applyFont="1" applyBorder="1" applyAlignment="1">
      <alignment vertical="center" wrapText="1"/>
    </xf>
    <xf numFmtId="3" fontId="16" fillId="6" borderId="28" xfId="1" applyNumberFormat="1" applyFont="1" applyFill="1" applyBorder="1" applyAlignment="1">
      <alignment horizontal="center" vertical="center" wrapText="1"/>
    </xf>
    <xf numFmtId="14" fontId="16" fillId="6" borderId="39" xfId="1" applyNumberFormat="1" applyFont="1" applyFill="1" applyBorder="1" applyAlignment="1">
      <alignment horizontal="center" vertical="center" wrapText="1"/>
    </xf>
    <xf numFmtId="14" fontId="16" fillId="6" borderId="27" xfId="1" applyNumberFormat="1" applyFont="1" applyFill="1" applyBorder="1" applyAlignment="1">
      <alignment horizontal="center" vertical="center" wrapText="1"/>
    </xf>
    <xf numFmtId="14" fontId="16" fillId="6" borderId="34" xfId="1" applyNumberFormat="1" applyFont="1" applyFill="1" applyBorder="1" applyAlignment="1">
      <alignment horizontal="center" vertical="center" wrapText="1"/>
    </xf>
    <xf numFmtId="0" fontId="16" fillId="6" borderId="39" xfId="1" applyFont="1" applyFill="1" applyBorder="1" applyAlignment="1">
      <alignment horizontal="center" vertical="center"/>
    </xf>
    <xf numFmtId="0" fontId="16" fillId="6" borderId="34" xfId="1" applyFont="1" applyFill="1" applyBorder="1" applyAlignment="1">
      <alignment horizontal="center" vertical="center"/>
    </xf>
    <xf numFmtId="0" fontId="13" fillId="0" borderId="54" xfId="0" applyFont="1" applyBorder="1" applyAlignment="1">
      <alignment vertical="center" wrapText="1"/>
    </xf>
    <xf numFmtId="0" fontId="13" fillId="0" borderId="21" xfId="0" applyFont="1" applyBorder="1" applyAlignment="1">
      <alignment vertical="center" wrapText="1"/>
    </xf>
    <xf numFmtId="0" fontId="13" fillId="0" borderId="47" xfId="0" applyFont="1" applyBorder="1" applyAlignment="1">
      <alignment vertical="center" wrapText="1"/>
    </xf>
    <xf numFmtId="0" fontId="13" fillId="0" borderId="22" xfId="0" applyFont="1" applyBorder="1" applyAlignment="1">
      <alignment vertical="center" wrapText="1"/>
    </xf>
    <xf numFmtId="0" fontId="13" fillId="0" borderId="55" xfId="0" applyFont="1" applyBorder="1" applyAlignment="1">
      <alignment vertical="center" wrapText="1"/>
    </xf>
    <xf numFmtId="0" fontId="13" fillId="0" borderId="23" xfId="0" applyFont="1" applyBorder="1" applyAlignment="1">
      <alignment vertical="center" wrapText="1"/>
    </xf>
    <xf numFmtId="0" fontId="23" fillId="0" borderId="3" xfId="0" applyFont="1" applyBorder="1" applyAlignment="1">
      <alignment horizontal="center" vertical="top"/>
    </xf>
    <xf numFmtId="0" fontId="23" fillId="0" borderId="4" xfId="0" applyFont="1" applyBorder="1" applyAlignment="1">
      <alignment horizontal="center" vertical="top"/>
    </xf>
    <xf numFmtId="0" fontId="23" fillId="0" borderId="13" xfId="0" applyFont="1" applyBorder="1" applyAlignment="1">
      <alignment horizontal="center" vertical="top"/>
    </xf>
    <xf numFmtId="0" fontId="16" fillId="0" borderId="56" xfId="0" applyFont="1" applyBorder="1" applyAlignment="1">
      <alignment horizontal="left" vertical="center" wrapText="1"/>
    </xf>
    <xf numFmtId="0" fontId="16" fillId="0" borderId="65" xfId="0" applyFont="1" applyBorder="1" applyAlignment="1">
      <alignment horizontal="left" vertical="center" wrapText="1"/>
    </xf>
    <xf numFmtId="0" fontId="20" fillId="0" borderId="0" xfId="14" applyFont="1" applyAlignment="1">
      <alignment horizontal="center" wrapText="1"/>
    </xf>
    <xf numFmtId="0" fontId="32" fillId="0" borderId="0" xfId="0" applyFont="1"/>
    <xf numFmtId="0" fontId="13" fillId="6" borderId="32" xfId="15" applyFont="1" applyFill="1" applyBorder="1" applyAlignment="1">
      <alignment horizontal="center" vertical="center"/>
    </xf>
    <xf numFmtId="0" fontId="13" fillId="6" borderId="31" xfId="15" applyFont="1" applyFill="1" applyBorder="1" applyAlignment="1">
      <alignment horizontal="center" vertical="center"/>
    </xf>
    <xf numFmtId="1" fontId="16" fillId="6" borderId="54" xfId="15" applyNumberFormat="1" applyFont="1" applyFill="1" applyBorder="1" applyAlignment="1">
      <alignment horizontal="center" vertical="center" wrapText="1"/>
    </xf>
    <xf numFmtId="1" fontId="16" fillId="6" borderId="21" xfId="15" applyNumberFormat="1" applyFont="1" applyFill="1" applyBorder="1" applyAlignment="1">
      <alignment horizontal="center" vertical="center" wrapText="1"/>
    </xf>
    <xf numFmtId="1" fontId="16" fillId="6" borderId="69" xfId="15" applyNumberFormat="1" applyFont="1" applyFill="1" applyBorder="1" applyAlignment="1">
      <alignment horizontal="center" vertical="center" wrapText="1"/>
    </xf>
    <xf numFmtId="4" fontId="16" fillId="3" borderId="54" xfId="15" applyNumberFormat="1" applyFont="1" applyFill="1" applyBorder="1" applyAlignment="1">
      <alignment horizontal="center" vertical="center" wrapText="1"/>
    </xf>
    <xf numFmtId="4" fontId="16" fillId="3" borderId="69" xfId="15" applyNumberFormat="1" applyFont="1" applyFill="1" applyBorder="1" applyAlignment="1">
      <alignment horizontal="center" vertical="center" wrapText="1"/>
    </xf>
    <xf numFmtId="4" fontId="16" fillId="3" borderId="21" xfId="15" applyNumberFormat="1" applyFont="1" applyFill="1" applyBorder="1" applyAlignment="1">
      <alignment horizontal="center" vertical="center" wrapText="1"/>
    </xf>
    <xf numFmtId="166" fontId="11" fillId="6" borderId="32" xfId="15" applyNumberFormat="1" applyFont="1" applyFill="1" applyBorder="1" applyAlignment="1">
      <alignment horizontal="center" vertical="center" wrapText="1"/>
    </xf>
    <xf numFmtId="166" fontId="11" fillId="6" borderId="31" xfId="15" applyNumberFormat="1" applyFont="1" applyFill="1" applyBorder="1" applyAlignment="1">
      <alignment horizontal="center" vertical="center" wrapText="1"/>
    </xf>
    <xf numFmtId="166" fontId="11" fillId="6" borderId="39" xfId="15" applyNumberFormat="1" applyFont="1" applyFill="1" applyBorder="1" applyAlignment="1">
      <alignment horizontal="center" vertical="center" wrapText="1"/>
    </xf>
    <xf numFmtId="166" fontId="11" fillId="6" borderId="34" xfId="15" applyNumberFormat="1" applyFont="1" applyFill="1" applyBorder="1" applyAlignment="1">
      <alignment horizontal="center" vertical="center" wrapText="1"/>
    </xf>
    <xf numFmtId="0" fontId="13" fillId="6" borderId="74" xfId="15" applyFont="1" applyFill="1" applyBorder="1" applyAlignment="1">
      <alignment horizontal="center" vertical="center"/>
    </xf>
    <xf numFmtId="0" fontId="13" fillId="6" borderId="39" xfId="15" applyFont="1" applyFill="1" applyBorder="1" applyAlignment="1">
      <alignment horizontal="center" vertical="center"/>
    </xf>
    <xf numFmtId="0" fontId="13" fillId="6" borderId="68" xfId="15" applyFont="1" applyFill="1" applyBorder="1" applyAlignment="1">
      <alignment horizontal="center" vertical="center"/>
    </xf>
    <xf numFmtId="0" fontId="13" fillId="6" borderId="34" xfId="15" applyFont="1" applyFill="1" applyBorder="1" applyAlignment="1">
      <alignment horizontal="center" vertical="center"/>
    </xf>
    <xf numFmtId="0" fontId="16" fillId="0" borderId="17" xfId="14" applyFont="1" applyBorder="1" applyAlignment="1">
      <alignment vertical="center" wrapText="1"/>
    </xf>
    <xf numFmtId="0" fontId="16" fillId="0" borderId="22" xfId="14" applyFont="1" applyBorder="1" applyAlignment="1">
      <alignment vertical="center" wrapText="1"/>
    </xf>
    <xf numFmtId="0" fontId="16" fillId="0" borderId="75" xfId="14" applyFont="1" applyBorder="1" applyAlignment="1">
      <alignment vertical="center" wrapText="1"/>
    </xf>
    <xf numFmtId="0" fontId="16" fillId="0" borderId="21" xfId="14" applyFont="1" applyBorder="1" applyAlignment="1">
      <alignment vertical="center" wrapText="1"/>
    </xf>
    <xf numFmtId="0" fontId="16" fillId="0" borderId="37" xfId="14" applyFont="1" applyBorder="1" applyAlignment="1">
      <alignment vertical="center" wrapText="1"/>
    </xf>
    <xf numFmtId="0" fontId="16" fillId="0" borderId="26" xfId="14" applyFont="1" applyBorder="1" applyAlignment="1">
      <alignment vertical="center" wrapText="1"/>
    </xf>
    <xf numFmtId="0" fontId="16" fillId="6" borderId="36" xfId="14" applyFont="1" applyFill="1" applyBorder="1" applyAlignment="1">
      <alignment vertical="center"/>
    </xf>
    <xf numFmtId="0" fontId="16" fillId="6" borderId="24" xfId="14" applyFont="1" applyFill="1" applyBorder="1" applyAlignment="1">
      <alignment vertical="center"/>
    </xf>
    <xf numFmtId="0" fontId="16" fillId="0" borderId="3" xfId="14" applyFont="1" applyBorder="1" applyAlignment="1">
      <alignment horizontal="center" vertical="center"/>
    </xf>
    <xf numFmtId="0" fontId="16" fillId="0" borderId="4" xfId="14" applyFont="1" applyBorder="1" applyAlignment="1">
      <alignment horizontal="center" vertical="center"/>
    </xf>
    <xf numFmtId="0" fontId="23" fillId="0" borderId="9" xfId="14" applyFont="1" applyBorder="1" applyAlignment="1">
      <alignment horizontal="center" vertical="top"/>
    </xf>
    <xf numFmtId="0" fontId="23" fillId="0" borderId="29" xfId="14" applyFont="1" applyBorder="1" applyAlignment="1">
      <alignment horizontal="center" vertical="top"/>
    </xf>
    <xf numFmtId="0" fontId="23" fillId="0" borderId="15" xfId="14" applyFont="1" applyBorder="1" applyAlignment="1">
      <alignment horizontal="center" vertical="top"/>
    </xf>
    <xf numFmtId="0" fontId="16" fillId="0" borderId="13" xfId="14" applyFont="1" applyBorder="1" applyAlignment="1">
      <alignment horizontal="center" vertical="center"/>
    </xf>
    <xf numFmtId="0" fontId="16" fillId="0" borderId="75" xfId="14" applyFont="1" applyBorder="1" applyAlignment="1">
      <alignment vertical="center"/>
    </xf>
    <xf numFmtId="0" fontId="16" fillId="0" borderId="21" xfId="14" applyFont="1" applyBorder="1" applyAlignment="1">
      <alignment vertical="center"/>
    </xf>
    <xf numFmtId="0" fontId="16" fillId="0" borderId="38" xfId="14" applyFont="1" applyBorder="1" applyAlignment="1">
      <alignment vertical="center"/>
    </xf>
    <xf numFmtId="0" fontId="16" fillId="0" borderId="25" xfId="14" applyFont="1" applyBorder="1" applyAlignment="1">
      <alignment vertical="center"/>
    </xf>
    <xf numFmtId="0" fontId="16" fillId="0" borderId="17" xfId="14" applyFont="1" applyBorder="1" applyAlignment="1">
      <alignment vertical="center"/>
    </xf>
    <xf numFmtId="0" fontId="16" fillId="0" borderId="22" xfId="14" applyFont="1" applyBorder="1" applyAlignment="1">
      <alignment vertical="center"/>
    </xf>
    <xf numFmtId="0" fontId="16" fillId="0" borderId="32" xfId="14" applyFont="1" applyBorder="1" applyAlignment="1">
      <alignment horizontal="center" vertical="center"/>
    </xf>
    <xf numFmtId="0" fontId="23" fillId="0" borderId="9" xfId="14" applyFont="1" applyBorder="1" applyAlignment="1">
      <alignment vertical="top"/>
    </xf>
    <xf numFmtId="0" fontId="23" fillId="0" borderId="15" xfId="14" applyFont="1" applyBorder="1" applyAlignment="1">
      <alignment vertical="top"/>
    </xf>
    <xf numFmtId="0" fontId="16" fillId="5" borderId="17" xfId="14" applyFont="1" applyFill="1" applyBorder="1" applyAlignment="1">
      <alignment vertical="center" wrapText="1"/>
    </xf>
    <xf numFmtId="0" fontId="16" fillId="5" borderId="22" xfId="14" applyFont="1" applyFill="1" applyBorder="1" applyAlignment="1">
      <alignment vertical="center" wrapText="1"/>
    </xf>
    <xf numFmtId="0" fontId="16" fillId="5" borderId="73" xfId="14" applyFont="1" applyFill="1" applyBorder="1" applyAlignment="1">
      <alignment vertical="center" wrapText="1"/>
    </xf>
    <xf numFmtId="0" fontId="16" fillId="5" borderId="23" xfId="14" applyFont="1" applyFill="1" applyBorder="1" applyAlignment="1">
      <alignment vertical="center" wrapText="1"/>
    </xf>
    <xf numFmtId="0" fontId="16" fillId="5" borderId="70" xfId="14" applyFont="1" applyFill="1" applyBorder="1" applyAlignment="1">
      <alignment vertical="center" wrapText="1"/>
    </xf>
    <xf numFmtId="0" fontId="23" fillId="5" borderId="9" xfId="14" applyFont="1" applyFill="1" applyBorder="1" applyAlignment="1">
      <alignment horizontal="center" vertical="top" wrapText="1"/>
    </xf>
    <xf numFmtId="0" fontId="23" fillId="5" borderId="29" xfId="14" applyFont="1" applyFill="1" applyBorder="1" applyAlignment="1">
      <alignment horizontal="center" vertical="top" wrapText="1"/>
    </xf>
    <xf numFmtId="0" fontId="23" fillId="5" borderId="15" xfId="14" applyFont="1" applyFill="1" applyBorder="1" applyAlignment="1">
      <alignment horizontal="center" vertical="top" wrapText="1"/>
    </xf>
    <xf numFmtId="0" fontId="16" fillId="0" borderId="17" xfId="18" applyFont="1" applyBorder="1" applyAlignment="1">
      <alignment vertical="center"/>
    </xf>
    <xf numFmtId="0" fontId="16" fillId="0" borderId="22" xfId="18" applyFont="1" applyBorder="1" applyAlignment="1">
      <alignment vertical="center"/>
    </xf>
    <xf numFmtId="0" fontId="16" fillId="5" borderId="3" xfId="14" applyFont="1" applyFill="1" applyBorder="1" applyAlignment="1">
      <alignment horizontal="center" vertical="center"/>
    </xf>
    <xf numFmtId="0" fontId="16" fillId="5" borderId="4" xfId="14" applyFont="1" applyFill="1" applyBorder="1" applyAlignment="1">
      <alignment horizontal="center" vertical="center"/>
    </xf>
    <xf numFmtId="0" fontId="16" fillId="5" borderId="13" xfId="14" applyFont="1" applyFill="1" applyBorder="1" applyAlignment="1">
      <alignment horizontal="center" vertical="center"/>
    </xf>
    <xf numFmtId="0" fontId="16" fillId="5" borderId="75" xfId="14" applyFont="1" applyFill="1" applyBorder="1" applyAlignment="1">
      <alignment vertical="center" wrapText="1"/>
    </xf>
    <xf numFmtId="0" fontId="16" fillId="5" borderId="69" xfId="14" applyFont="1" applyFill="1" applyBorder="1" applyAlignment="1">
      <alignment vertical="center" wrapText="1"/>
    </xf>
    <xf numFmtId="0" fontId="13" fillId="0" borderId="17" xfId="14" applyFont="1" applyBorder="1" applyAlignment="1">
      <alignment vertical="center" wrapText="1"/>
    </xf>
    <xf numFmtId="0" fontId="13" fillId="0" borderId="22" xfId="14" applyFont="1" applyBorder="1" applyAlignment="1">
      <alignment vertical="center" wrapText="1"/>
    </xf>
    <xf numFmtId="0" fontId="16" fillId="0" borderId="47" xfId="14" applyFont="1" applyBorder="1" applyAlignment="1">
      <alignment vertical="center" wrapText="1"/>
    </xf>
    <xf numFmtId="0" fontId="16" fillId="0" borderId="70" xfId="14" applyFont="1" applyBorder="1" applyAlignment="1">
      <alignment vertical="center" wrapText="1"/>
    </xf>
    <xf numFmtId="0" fontId="16" fillId="0" borderId="47" xfId="14" applyFont="1" applyBorder="1" applyAlignment="1">
      <alignment vertical="center"/>
    </xf>
    <xf numFmtId="0" fontId="16" fillId="0" borderId="70" xfId="14" applyFont="1" applyBorder="1" applyAlignment="1">
      <alignment vertical="center"/>
    </xf>
    <xf numFmtId="0" fontId="23" fillId="0" borderId="17" xfId="14" applyFont="1" applyBorder="1" applyAlignment="1">
      <alignment vertical="center"/>
    </xf>
    <xf numFmtId="0" fontId="23" fillId="0" borderId="22" xfId="14" applyFont="1" applyBorder="1" applyAlignment="1">
      <alignment vertical="center"/>
    </xf>
    <xf numFmtId="0" fontId="23" fillId="0" borderId="2" xfId="14" applyFont="1" applyBorder="1" applyAlignment="1">
      <alignment horizontal="right" vertical="top" wrapText="1"/>
    </xf>
    <xf numFmtId="0" fontId="23" fillId="0" borderId="70" xfId="14" applyFont="1" applyBorder="1" applyAlignment="1">
      <alignment vertical="center" wrapText="1"/>
    </xf>
    <xf numFmtId="0" fontId="23" fillId="0" borderId="22" xfId="14" applyFont="1" applyBorder="1" applyAlignment="1">
      <alignment vertical="center" wrapText="1"/>
    </xf>
    <xf numFmtId="0" fontId="16" fillId="0" borderId="54" xfId="14" applyFont="1" applyBorder="1" applyAlignment="1">
      <alignment vertical="center" wrapText="1"/>
    </xf>
    <xf numFmtId="0" fontId="16" fillId="0" borderId="69" xfId="14" applyFont="1" applyBorder="1" applyAlignment="1">
      <alignment vertical="center" wrapText="1"/>
    </xf>
    <xf numFmtId="0" fontId="23" fillId="0" borderId="17" xfId="14" applyFont="1" applyBorder="1" applyAlignment="1">
      <alignment vertical="center" wrapText="1"/>
    </xf>
    <xf numFmtId="0" fontId="23" fillId="0" borderId="17" xfId="14" applyFont="1" applyBorder="1" applyAlignment="1">
      <alignment horizontal="left" vertical="center" wrapText="1"/>
    </xf>
    <xf numFmtId="0" fontId="23" fillId="0" borderId="22" xfId="14" applyFont="1" applyBorder="1" applyAlignment="1">
      <alignment horizontal="left" vertical="center" wrapText="1"/>
    </xf>
    <xf numFmtId="0" fontId="13" fillId="0" borderId="70" xfId="14" applyFont="1" applyBorder="1" applyAlignment="1">
      <alignment vertical="center" wrapText="1"/>
    </xf>
    <xf numFmtId="0" fontId="23" fillId="0" borderId="9" xfId="14" applyFont="1" applyBorder="1" applyAlignment="1">
      <alignment horizontal="center" vertical="top" wrapText="1"/>
    </xf>
    <xf numFmtId="0" fontId="23" fillId="0" borderId="29" xfId="14" applyFont="1" applyBorder="1" applyAlignment="1">
      <alignment horizontal="center" vertical="top" wrapText="1"/>
    </xf>
    <xf numFmtId="0" fontId="23" fillId="0" borderId="9" xfId="14" applyFont="1" applyBorder="1" applyAlignment="1">
      <alignment vertical="top" wrapText="1"/>
    </xf>
    <xf numFmtId="0" fontId="23" fillId="0" borderId="29" xfId="14" applyFont="1" applyBorder="1" applyAlignment="1">
      <alignment vertical="top" wrapText="1"/>
    </xf>
    <xf numFmtId="0" fontId="23" fillId="0" borderId="15" xfId="14" applyFont="1" applyBorder="1" applyAlignment="1">
      <alignment vertical="top" wrapText="1"/>
    </xf>
    <xf numFmtId="0" fontId="16" fillId="0" borderId="38" xfId="14" applyFont="1" applyBorder="1" applyAlignment="1">
      <alignment vertical="center" wrapText="1"/>
    </xf>
    <xf numFmtId="0" fontId="16" fillId="0" borderId="25" xfId="14" applyFont="1" applyBorder="1" applyAlignment="1">
      <alignment vertical="center" wrapText="1"/>
    </xf>
    <xf numFmtId="4" fontId="11" fillId="0" borderId="0" xfId="14" applyNumberFormat="1" applyFont="1" applyAlignment="1">
      <alignment horizontal="center" vertical="center"/>
    </xf>
    <xf numFmtId="0" fontId="23" fillId="0" borderId="9" xfId="14" applyFont="1" applyBorder="1" applyAlignment="1">
      <alignment horizontal="left" vertical="top" wrapText="1"/>
    </xf>
    <xf numFmtId="0" fontId="23" fillId="0" borderId="29" xfId="14" applyFont="1" applyBorder="1" applyAlignment="1">
      <alignment horizontal="left" vertical="top" wrapText="1"/>
    </xf>
    <xf numFmtId="0" fontId="23" fillId="0" borderId="15" xfId="14" applyFont="1" applyBorder="1" applyAlignment="1">
      <alignment horizontal="left" vertical="top" wrapText="1"/>
    </xf>
    <xf numFmtId="0" fontId="16" fillId="0" borderId="68" xfId="14" applyFont="1" applyBorder="1" applyAlignment="1">
      <alignment vertical="center" wrapText="1"/>
    </xf>
    <xf numFmtId="0" fontId="16" fillId="0" borderId="34" xfId="14" applyFont="1" applyBorder="1" applyAlignment="1">
      <alignment vertical="center" wrapText="1"/>
    </xf>
    <xf numFmtId="0" fontId="13" fillId="0" borderId="3" xfId="14" applyFont="1" applyBorder="1" applyAlignment="1">
      <alignment horizontal="center" vertical="center"/>
    </xf>
    <xf numFmtId="0" fontId="13" fillId="0" borderId="13" xfId="14" applyFont="1" applyBorder="1" applyAlignment="1">
      <alignment horizontal="center" vertical="center"/>
    </xf>
    <xf numFmtId="0" fontId="13" fillId="0" borderId="4" xfId="14" applyFont="1" applyBorder="1" applyAlignment="1">
      <alignment horizontal="center" vertical="center"/>
    </xf>
    <xf numFmtId="0" fontId="23" fillId="0" borderId="15" xfId="14" applyFont="1" applyBorder="1" applyAlignment="1">
      <alignment horizontal="center" vertical="top" wrapText="1"/>
    </xf>
    <xf numFmtId="0" fontId="16" fillId="0" borderId="17" xfId="15" applyFont="1" applyBorder="1" applyAlignment="1">
      <alignment vertical="center" wrapText="1"/>
    </xf>
    <xf numFmtId="0" fontId="16" fillId="0" borderId="22" xfId="15" applyFont="1" applyBorder="1" applyAlignment="1">
      <alignment vertical="center" wrapText="1"/>
    </xf>
    <xf numFmtId="0" fontId="16" fillId="0" borderId="60" xfId="14" applyFont="1" applyBorder="1" applyAlignment="1">
      <alignment vertical="center"/>
    </xf>
    <xf numFmtId="0" fontId="16" fillId="0" borderId="0" xfId="14" applyFont="1" applyAlignment="1">
      <alignment vertical="center"/>
    </xf>
    <xf numFmtId="0" fontId="16" fillId="0" borderId="27" xfId="14" applyFont="1" applyBorder="1" applyAlignment="1">
      <alignment vertical="center"/>
    </xf>
    <xf numFmtId="0" fontId="16" fillId="0" borderId="17" xfId="21" applyFont="1" applyBorder="1" applyAlignment="1">
      <alignment vertical="center" wrapText="1"/>
    </xf>
    <xf numFmtId="0" fontId="16" fillId="0" borderId="22" xfId="21" applyFont="1" applyBorder="1" applyAlignment="1">
      <alignment vertical="center" wrapText="1"/>
    </xf>
    <xf numFmtId="0" fontId="16" fillId="0" borderId="3" xfId="19" applyFont="1" applyBorder="1" applyAlignment="1">
      <alignment horizontal="center" vertical="center"/>
    </xf>
    <xf numFmtId="0" fontId="16" fillId="0" borderId="13" xfId="19" applyFont="1" applyBorder="1" applyAlignment="1">
      <alignment horizontal="center" vertical="center"/>
    </xf>
    <xf numFmtId="0" fontId="16" fillId="0" borderId="17" xfId="19" applyFont="1" applyBorder="1" applyAlignment="1">
      <alignment vertical="center" wrapText="1"/>
    </xf>
    <xf numFmtId="0" fontId="16" fillId="0" borderId="70" xfId="19" applyFont="1" applyBorder="1" applyAlignment="1">
      <alignment vertical="center" wrapText="1"/>
    </xf>
    <xf numFmtId="0" fontId="16" fillId="0" borderId="75" xfId="19" applyFont="1" applyBorder="1" applyAlignment="1">
      <alignment vertical="center" wrapText="1"/>
    </xf>
    <xf numFmtId="0" fontId="16" fillId="0" borderId="69" xfId="19" applyFont="1" applyBorder="1" applyAlignment="1">
      <alignment vertical="center" wrapText="1"/>
    </xf>
    <xf numFmtId="0" fontId="16" fillId="0" borderId="31" xfId="14" applyFont="1" applyBorder="1" applyAlignment="1">
      <alignment horizontal="center" vertical="center"/>
    </xf>
    <xf numFmtId="0" fontId="23" fillId="0" borderId="30" xfId="14" applyFont="1" applyBorder="1" applyAlignment="1">
      <alignment horizontal="center" vertical="top"/>
    </xf>
    <xf numFmtId="0" fontId="16" fillId="0" borderId="77" xfId="14" applyFont="1" applyBorder="1" applyAlignment="1">
      <alignment vertical="center"/>
    </xf>
    <xf numFmtId="0" fontId="23" fillId="0" borderId="51" xfId="14" applyFont="1" applyBorder="1" applyAlignment="1">
      <alignment horizontal="center" vertical="top"/>
    </xf>
    <xf numFmtId="0" fontId="23" fillId="0" borderId="72" xfId="14" applyFont="1" applyBorder="1" applyAlignment="1">
      <alignment horizontal="center" vertical="top"/>
    </xf>
    <xf numFmtId="0" fontId="23" fillId="0" borderId="49" xfId="14" applyFont="1" applyBorder="1" applyAlignment="1">
      <alignment horizontal="center" vertical="top"/>
    </xf>
    <xf numFmtId="0" fontId="23" fillId="0" borderId="51" xfId="14" applyFont="1" applyBorder="1" applyAlignment="1">
      <alignment vertical="top"/>
    </xf>
    <xf numFmtId="0" fontId="23" fillId="0" borderId="49" xfId="14" applyFont="1" applyBorder="1" applyAlignment="1">
      <alignment vertical="top"/>
    </xf>
    <xf numFmtId="0" fontId="16" fillId="6" borderId="36" xfId="14" applyFont="1" applyFill="1" applyBorder="1"/>
    <xf numFmtId="0" fontId="16" fillId="6" borderId="24" xfId="14" applyFont="1" applyFill="1" applyBorder="1"/>
    <xf numFmtId="0" fontId="16" fillId="0" borderId="73" xfId="14" applyFont="1" applyBorder="1" applyAlignment="1">
      <alignment vertical="center" wrapText="1"/>
    </xf>
    <xf numFmtId="0" fontId="16" fillId="0" borderId="23" xfId="14" applyFont="1" applyBorder="1" applyAlignment="1">
      <alignment vertical="center" wrapText="1"/>
    </xf>
    <xf numFmtId="0" fontId="13" fillId="5" borderId="37" xfId="14" applyFont="1" applyFill="1" applyBorder="1" applyAlignment="1">
      <alignment vertical="center" wrapText="1"/>
    </xf>
    <xf numFmtId="0" fontId="13" fillId="5" borderId="26" xfId="14" applyFont="1" applyFill="1" applyBorder="1" applyAlignment="1">
      <alignment vertical="center" wrapText="1"/>
    </xf>
    <xf numFmtId="0" fontId="16" fillId="5" borderId="38" xfId="14" applyFont="1" applyFill="1" applyBorder="1" applyAlignment="1">
      <alignment vertical="center" wrapText="1"/>
    </xf>
    <xf numFmtId="0" fontId="16" fillId="5" borderId="25" xfId="14" applyFont="1" applyFill="1" applyBorder="1" applyAlignment="1">
      <alignment vertical="center" wrapText="1"/>
    </xf>
    <xf numFmtId="0" fontId="16" fillId="5" borderId="47" xfId="14" applyFont="1" applyFill="1" applyBorder="1" applyAlignment="1">
      <alignment vertical="center" wrapText="1"/>
    </xf>
    <xf numFmtId="0" fontId="13" fillId="5" borderId="17" xfId="14" applyFont="1" applyFill="1" applyBorder="1" applyAlignment="1">
      <alignment vertical="center" wrapText="1"/>
    </xf>
    <xf numFmtId="0" fontId="13" fillId="5" borderId="22" xfId="14" applyFont="1" applyFill="1" applyBorder="1" applyAlignment="1">
      <alignment vertical="center" wrapText="1"/>
    </xf>
    <xf numFmtId="0" fontId="23" fillId="5" borderId="17" xfId="14" applyFont="1" applyFill="1" applyBorder="1" applyAlignment="1">
      <alignment vertical="center" wrapText="1"/>
    </xf>
    <xf numFmtId="0" fontId="23" fillId="5" borderId="22" xfId="14" applyFont="1" applyFill="1" applyBorder="1" applyAlignment="1">
      <alignment vertical="center" wrapText="1"/>
    </xf>
    <xf numFmtId="0" fontId="16" fillId="5" borderId="59" xfId="14" applyFont="1" applyFill="1" applyBorder="1" applyAlignment="1">
      <alignment vertical="center" wrapText="1"/>
    </xf>
    <xf numFmtId="0" fontId="16" fillId="5" borderId="71" xfId="14" applyFont="1" applyFill="1" applyBorder="1" applyAlignment="1">
      <alignment vertical="center" wrapText="1"/>
    </xf>
    <xf numFmtId="0" fontId="16" fillId="5" borderId="26" xfId="14" applyFont="1" applyFill="1" applyBorder="1" applyAlignment="1">
      <alignment vertical="center" wrapText="1"/>
    </xf>
    <xf numFmtId="0" fontId="23" fillId="5" borderId="9" xfId="14" applyFont="1" applyFill="1" applyBorder="1" applyAlignment="1">
      <alignment vertical="top"/>
    </xf>
    <xf numFmtId="0" fontId="23" fillId="5" borderId="29" xfId="14" applyFont="1" applyFill="1" applyBorder="1" applyAlignment="1">
      <alignment vertical="top"/>
    </xf>
    <xf numFmtId="0" fontId="23" fillId="5" borderId="15" xfId="14" applyFont="1" applyFill="1" applyBorder="1" applyAlignment="1">
      <alignment vertical="top"/>
    </xf>
    <xf numFmtId="0" fontId="16" fillId="5" borderId="21" xfId="14" applyFont="1" applyFill="1" applyBorder="1" applyAlignment="1">
      <alignment vertical="center" wrapText="1"/>
    </xf>
    <xf numFmtId="0" fontId="16" fillId="5" borderId="32" xfId="14" applyFont="1" applyFill="1" applyBorder="1" applyAlignment="1">
      <alignment horizontal="center" vertical="center"/>
    </xf>
    <xf numFmtId="0" fontId="23" fillId="5" borderId="9" xfId="14" applyFont="1" applyFill="1" applyBorder="1" applyAlignment="1">
      <alignment horizontal="center" vertical="top"/>
    </xf>
    <xf numFmtId="0" fontId="23" fillId="5" borderId="29" xfId="14" applyFont="1" applyFill="1" applyBorder="1" applyAlignment="1">
      <alignment horizontal="center" vertical="top"/>
    </xf>
    <xf numFmtId="0" fontId="16" fillId="5" borderId="80" xfId="14" applyFont="1" applyFill="1" applyBorder="1" applyAlignment="1">
      <alignment vertical="center" wrapText="1"/>
    </xf>
    <xf numFmtId="0" fontId="16" fillId="5" borderId="27" xfId="14" applyFont="1" applyFill="1" applyBorder="1" applyAlignment="1">
      <alignment vertical="center" wrapText="1"/>
    </xf>
    <xf numFmtId="0" fontId="16" fillId="0" borderId="3" xfId="14" applyFont="1" applyBorder="1" applyAlignment="1">
      <alignment horizontal="center" vertical="center" wrapText="1"/>
    </xf>
    <xf numFmtId="0" fontId="16" fillId="0" borderId="13" xfId="14" applyFont="1" applyBorder="1" applyAlignment="1">
      <alignment horizontal="center" vertical="center" wrapText="1"/>
    </xf>
    <xf numFmtId="0" fontId="17" fillId="0" borderId="17" xfId="14" applyFont="1" applyBorder="1" applyAlignment="1">
      <alignment vertical="center"/>
    </xf>
    <xf numFmtId="0" fontId="17" fillId="0" borderId="22" xfId="14" applyFont="1" applyBorder="1" applyAlignment="1">
      <alignment vertical="center"/>
    </xf>
    <xf numFmtId="0" fontId="23" fillId="0" borderId="29" xfId="14" applyFont="1" applyBorder="1" applyAlignment="1">
      <alignment vertical="top"/>
    </xf>
    <xf numFmtId="0" fontId="17" fillId="0" borderId="75" xfId="14" applyFont="1" applyBorder="1" applyAlignment="1">
      <alignment vertical="center" wrapText="1"/>
    </xf>
    <xf numFmtId="0" fontId="17" fillId="0" borderId="21" xfId="14" applyFont="1" applyBorder="1" applyAlignment="1">
      <alignment vertical="center" wrapText="1"/>
    </xf>
    <xf numFmtId="0" fontId="17" fillId="0" borderId="17" xfId="14" applyFont="1" applyBorder="1" applyAlignment="1">
      <alignment vertical="center" wrapText="1"/>
    </xf>
    <xf numFmtId="0" fontId="17" fillId="0" borderId="22" xfId="14" applyFont="1" applyBorder="1" applyAlignment="1">
      <alignment vertical="center" wrapText="1"/>
    </xf>
    <xf numFmtId="0" fontId="17" fillId="0" borderId="3" xfId="14" applyFont="1" applyBorder="1" applyAlignment="1">
      <alignment horizontal="center" vertical="center"/>
    </xf>
    <xf numFmtId="0" fontId="17" fillId="0" borderId="4" xfId="14" applyFont="1" applyBorder="1" applyAlignment="1">
      <alignment horizontal="center" vertical="center"/>
    </xf>
    <xf numFmtId="0" fontId="17" fillId="0" borderId="13" xfId="14" applyFont="1" applyBorder="1" applyAlignment="1">
      <alignment horizontal="center" vertical="center"/>
    </xf>
    <xf numFmtId="0" fontId="17" fillId="0" borderId="38" xfId="14" applyFont="1" applyBorder="1" applyAlignment="1">
      <alignment vertical="center" wrapText="1"/>
    </xf>
    <xf numFmtId="0" fontId="17" fillId="0" borderId="25" xfId="14" applyFont="1" applyBorder="1" applyAlignment="1">
      <alignment vertical="center" wrapText="1"/>
    </xf>
    <xf numFmtId="3" fontId="17" fillId="6" borderId="1" xfId="1" applyNumberFormat="1" applyFont="1" applyFill="1" applyBorder="1" applyAlignment="1">
      <alignment horizontal="center" vertical="center" wrapText="1"/>
    </xf>
    <xf numFmtId="3" fontId="17" fillId="6" borderId="7" xfId="1" applyNumberFormat="1" applyFont="1" applyFill="1" applyBorder="1" applyAlignment="1">
      <alignment horizontal="center" vertical="center" wrapText="1"/>
    </xf>
    <xf numFmtId="3" fontId="17" fillId="6" borderId="45" xfId="1" applyNumberFormat="1" applyFont="1" applyFill="1" applyBorder="1" applyAlignment="1">
      <alignment horizontal="center" vertical="center" wrapText="1"/>
    </xf>
    <xf numFmtId="3" fontId="27" fillId="4" borderId="1" xfId="1" applyNumberFormat="1" applyFont="1" applyFill="1" applyBorder="1" applyAlignment="1">
      <alignment horizontal="center" vertical="center" wrapText="1"/>
    </xf>
    <xf numFmtId="3" fontId="27" fillId="4" borderId="7" xfId="1" applyNumberFormat="1" applyFont="1" applyFill="1" applyBorder="1" applyAlignment="1">
      <alignment horizontal="center" vertical="center" wrapText="1"/>
    </xf>
    <xf numFmtId="3" fontId="27" fillId="4" borderId="45" xfId="1" applyNumberFormat="1" applyFont="1" applyFill="1" applyBorder="1" applyAlignment="1">
      <alignment horizontal="center" vertical="center" wrapText="1"/>
    </xf>
    <xf numFmtId="3" fontId="27" fillId="4" borderId="63" xfId="1" applyNumberFormat="1" applyFont="1" applyFill="1" applyBorder="1" applyAlignment="1">
      <alignment horizontal="center" vertical="center" wrapText="1"/>
    </xf>
    <xf numFmtId="0" fontId="17" fillId="6" borderId="40" xfId="0" applyFont="1" applyFill="1" applyBorder="1" applyAlignment="1">
      <alignment horizontal="center" vertical="center"/>
    </xf>
    <xf numFmtId="0" fontId="17" fillId="6" borderId="28" xfId="0" applyFont="1" applyFill="1" applyBorder="1" applyAlignment="1">
      <alignment horizontal="center" vertical="center"/>
    </xf>
    <xf numFmtId="0" fontId="17" fillId="6" borderId="61" xfId="0" applyFont="1" applyFill="1" applyBorder="1" applyAlignment="1">
      <alignment horizontal="center" vertical="center"/>
    </xf>
    <xf numFmtId="3" fontId="13" fillId="2" borderId="47" xfId="1" applyNumberFormat="1" applyFont="1" applyFill="1" applyBorder="1" applyAlignment="1">
      <alignment horizontal="center" vertical="center" wrapText="1"/>
    </xf>
    <xf numFmtId="3" fontId="13" fillId="2" borderId="70" xfId="1" applyNumberFormat="1" applyFont="1" applyFill="1" applyBorder="1" applyAlignment="1">
      <alignment horizontal="center" vertical="center" wrapText="1"/>
    </xf>
    <xf numFmtId="4" fontId="17" fillId="3" borderId="11" xfId="15" applyNumberFormat="1" applyFont="1" applyFill="1" applyBorder="1" applyAlignment="1">
      <alignment horizontal="center" vertical="center" wrapText="1"/>
    </xf>
    <xf numFmtId="4" fontId="17" fillId="3" borderId="61" xfId="15" applyNumberFormat="1" applyFont="1" applyFill="1" applyBorder="1" applyAlignment="1">
      <alignment horizontal="center" vertical="center" wrapText="1"/>
    </xf>
    <xf numFmtId="0" fontId="16" fillId="6" borderId="40" xfId="0" applyFont="1" applyFill="1" applyBorder="1" applyAlignment="1">
      <alignment horizontal="center" vertical="center"/>
    </xf>
    <xf numFmtId="0" fontId="16" fillId="6" borderId="61"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65" xfId="0" applyFont="1" applyFill="1" applyBorder="1" applyAlignment="1">
      <alignment horizontal="center" vertical="center"/>
    </xf>
    <xf numFmtId="0" fontId="16" fillId="3" borderId="24" xfId="0" applyFont="1" applyFill="1" applyBorder="1" applyAlignment="1">
      <alignment horizontal="center" vertical="center"/>
    </xf>
  </cellXfs>
  <cellStyles count="22">
    <cellStyle name="Čárka 2" xfId="8" xr:uid="{00000000-0005-0000-0000-000000000000}"/>
    <cellStyle name="Čárka 2 2" xfId="9" xr:uid="{00000000-0005-0000-0000-000001000000}"/>
    <cellStyle name="Čárka 2 2 2" xfId="10" xr:uid="{00000000-0005-0000-0000-000002000000}"/>
    <cellStyle name="Čárka 2 3" xfId="11" xr:uid="{00000000-0005-0000-0000-000003000000}"/>
    <cellStyle name="Čárka 3" xfId="12" xr:uid="{00000000-0005-0000-0000-000004000000}"/>
    <cellStyle name="Čárka 3 2" xfId="13" xr:uid="{00000000-0005-0000-0000-000005000000}"/>
    <cellStyle name="Normální" xfId="0" builtinId="0"/>
    <cellStyle name="Normální 2" xfId="3" xr:uid="{00000000-0005-0000-0000-000007000000}"/>
    <cellStyle name="Normální 3" xfId="4" xr:uid="{00000000-0005-0000-0000-000008000000}"/>
    <cellStyle name="Normální 4" xfId="5" xr:uid="{00000000-0005-0000-0000-000009000000}"/>
    <cellStyle name="Normální 5" xfId="6" xr:uid="{00000000-0005-0000-0000-00000A000000}"/>
    <cellStyle name="Normální 6" xfId="7" xr:uid="{00000000-0005-0000-0000-00000B000000}"/>
    <cellStyle name="Normální 7" xfId="16" xr:uid="{00000000-0005-0000-0000-00000C000000}"/>
    <cellStyle name="Normální 7 2" xfId="17" xr:uid="{00000000-0005-0000-0000-00000D000000}"/>
    <cellStyle name="normální_1.-7" xfId="20" xr:uid="{00000000-0005-0000-0000-00000E000000}"/>
    <cellStyle name="normální_1.-7 2" xfId="15" xr:uid="{00000000-0005-0000-0000-00000F000000}"/>
    <cellStyle name="normální_10" xfId="19" xr:uid="{00000000-0005-0000-0000-000010000000}"/>
    <cellStyle name="normální_čerp.-celek 1.-9.09" xfId="1" xr:uid="{00000000-0005-0000-0000-000011000000}"/>
    <cellStyle name="normální_čerp.-celek r.2009 2 2" xfId="18" xr:uid="{00000000-0005-0000-0000-000012000000}"/>
    <cellStyle name="normální_Fondy" xfId="2" xr:uid="{00000000-0005-0000-0000-000013000000}"/>
    <cellStyle name="normální_t 01" xfId="14" xr:uid="{00000000-0005-0000-0000-000014000000}"/>
    <cellStyle name="normální_t 01 2" xfId="21" xr:uid="{00000000-0005-0000-0000-000015000000}"/>
  </cellStyles>
  <dxfs count="0"/>
  <tableStyles count="0" defaultTableStyle="TableStyleMedium2" defaultPivotStyle="PivotStyleLight16"/>
  <colors>
    <mruColors>
      <color rgb="FFFFFFCC"/>
      <color rgb="FF008A3E"/>
      <color rgb="FFCC6600"/>
      <color rgb="FFFF9933"/>
      <color rgb="FF00EE00"/>
      <color rgb="FF00C400"/>
      <color rgb="FF0085B4"/>
      <color rgb="FF009BD2"/>
      <color rgb="FF00602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409575</xdr:colOff>
      <xdr:row>3</xdr:row>
      <xdr:rowOff>76200</xdr:rowOff>
    </xdr:to>
    <xdr:pic>
      <xdr:nvPicPr>
        <xdr:cNvPr id="4" name="Obrázek 3" descr="stredoceskykrajznak">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47975" cy="5619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8:O28"/>
  <sheetViews>
    <sheetView tabSelected="1" workbookViewId="0">
      <selection activeCell="A5" sqref="A5"/>
    </sheetView>
  </sheetViews>
  <sheetFormatPr defaultColWidth="9.140625" defaultRowHeight="12.75" x14ac:dyDescent="0.2"/>
  <cols>
    <col min="1" max="10" width="8.7109375" style="29" customWidth="1"/>
    <col min="11" max="16384" width="9.140625" style="29"/>
  </cols>
  <sheetData>
    <row r="18" spans="1:15" ht="31.5" x14ac:dyDescent="0.5">
      <c r="A18" s="1205" t="s">
        <v>373</v>
      </c>
      <c r="B18" s="1205"/>
      <c r="C18" s="1205"/>
      <c r="D18" s="1205"/>
      <c r="E18" s="1205"/>
      <c r="F18" s="1205"/>
      <c r="G18" s="1205"/>
      <c r="H18" s="1205"/>
      <c r="I18" s="1205"/>
      <c r="J18" s="1205"/>
      <c r="K18" s="1205"/>
      <c r="L18" s="1205"/>
      <c r="M18" s="1205"/>
      <c r="N18" s="1205"/>
      <c r="O18" s="1205"/>
    </row>
    <row r="19" spans="1:15" ht="28.5" x14ac:dyDescent="0.45">
      <c r="A19" s="167"/>
    </row>
    <row r="20" spans="1:15" ht="31.5" x14ac:dyDescent="0.5">
      <c r="A20" s="1205" t="s">
        <v>483</v>
      </c>
      <c r="B20" s="1205"/>
      <c r="C20" s="1205"/>
      <c r="D20" s="1205"/>
      <c r="E20" s="1205"/>
      <c r="F20" s="1205"/>
      <c r="G20" s="1205"/>
      <c r="H20" s="1205"/>
      <c r="I20" s="1205"/>
      <c r="J20" s="1205"/>
      <c r="K20" s="1205"/>
      <c r="L20" s="1205"/>
      <c r="M20" s="1205"/>
      <c r="N20" s="1205"/>
      <c r="O20" s="1205"/>
    </row>
    <row r="21" spans="1:15" ht="28.5" x14ac:dyDescent="0.45">
      <c r="A21" s="167"/>
    </row>
    <row r="28" spans="1:15" ht="23.25" x14ac:dyDescent="0.35">
      <c r="A28" s="1206" t="s">
        <v>253</v>
      </c>
      <c r="B28" s="1206"/>
      <c r="C28" s="1206"/>
      <c r="D28" s="1206"/>
      <c r="E28" s="1206"/>
      <c r="F28" s="1206"/>
      <c r="G28" s="1206"/>
      <c r="H28" s="1206"/>
      <c r="I28" s="1206"/>
      <c r="J28" s="1206"/>
      <c r="K28" s="1206"/>
      <c r="L28" s="1206"/>
      <c r="M28" s="1206"/>
      <c r="N28" s="1206"/>
      <c r="O28" s="1206"/>
    </row>
  </sheetData>
  <mergeCells count="3">
    <mergeCell ref="A18:O18"/>
    <mergeCell ref="A20:O20"/>
    <mergeCell ref="A28:O28"/>
  </mergeCells>
  <pageMargins left="0.70866141732283472" right="0.70866141732283472" top="0.78740157480314965" bottom="0.78740157480314965" header="0.31496062992125984" footer="0.31496062992125984"/>
  <pageSetup paperSize="9" orientation="landscape" r:id="rId1"/>
  <headerFooter>
    <oddHeader>&amp;R&amp;"-,Obyčejné"&amp;12Příloha č.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9"/>
  <sheetViews>
    <sheetView workbookViewId="0"/>
  </sheetViews>
  <sheetFormatPr defaultColWidth="9.140625" defaultRowHeight="12.75" x14ac:dyDescent="0.2"/>
  <cols>
    <col min="1" max="1" width="42.42578125" style="29" customWidth="1"/>
    <col min="2" max="2" width="14.7109375" style="38" customWidth="1"/>
    <col min="3" max="3" width="14.7109375" style="28" customWidth="1"/>
    <col min="4" max="4" width="14.7109375" style="38" customWidth="1"/>
    <col min="5" max="7" width="14.7109375" style="28" customWidth="1"/>
    <col min="8" max="8" width="10.7109375" style="37" customWidth="1"/>
    <col min="9" max="9" width="9.140625" style="29"/>
    <col min="10" max="10" width="11.28515625" style="29" bestFit="1" customWidth="1"/>
    <col min="11" max="16384" width="9.140625" style="29"/>
  </cols>
  <sheetData>
    <row r="1" spans="1:8" ht="15" customHeight="1" x14ac:dyDescent="0.2"/>
    <row r="2" spans="1:8" ht="24.95" customHeight="1" x14ac:dyDescent="0.35">
      <c r="A2" s="27" t="s">
        <v>486</v>
      </c>
    </row>
    <row r="3" spans="1:8" ht="15" customHeight="1" x14ac:dyDescent="0.2"/>
    <row r="4" spans="1:8" ht="20.100000000000001" customHeight="1" x14ac:dyDescent="0.3">
      <c r="A4" s="39" t="s">
        <v>229</v>
      </c>
    </row>
    <row r="5" spans="1:8" ht="15" customHeight="1" x14ac:dyDescent="0.3">
      <c r="A5" s="39"/>
    </row>
    <row r="6" spans="1:8" ht="15" customHeight="1" thickBot="1" x14ac:dyDescent="0.3">
      <c r="A6" s="35" t="s">
        <v>391</v>
      </c>
      <c r="G6" s="46"/>
      <c r="H6" s="265" t="s">
        <v>0</v>
      </c>
    </row>
    <row r="7" spans="1:8" ht="15" customHeight="1" x14ac:dyDescent="0.2">
      <c r="A7" s="1226" t="s">
        <v>1</v>
      </c>
      <c r="B7" s="1208" t="s">
        <v>283</v>
      </c>
      <c r="C7" s="1209"/>
      <c r="D7" s="1208" t="s">
        <v>390</v>
      </c>
      <c r="E7" s="1212"/>
      <c r="F7" s="1209"/>
      <c r="G7" s="1213" t="s">
        <v>484</v>
      </c>
      <c r="H7" s="1215" t="s">
        <v>485</v>
      </c>
    </row>
    <row r="8" spans="1:8" ht="30" customHeight="1" thickBot="1" x14ac:dyDescent="0.25">
      <c r="A8" s="1227"/>
      <c r="B8" s="267" t="s">
        <v>109</v>
      </c>
      <c r="C8" s="272" t="s">
        <v>110</v>
      </c>
      <c r="D8" s="267" t="s">
        <v>109</v>
      </c>
      <c r="E8" s="268" t="s">
        <v>586</v>
      </c>
      <c r="F8" s="269" t="s">
        <v>587</v>
      </c>
      <c r="G8" s="1214"/>
      <c r="H8" s="1216"/>
    </row>
    <row r="9" spans="1:8" ht="15" customHeight="1" x14ac:dyDescent="0.25">
      <c r="A9" s="108" t="s">
        <v>29</v>
      </c>
      <c r="B9" s="111">
        <f>'04'!D11</f>
        <v>127093</v>
      </c>
      <c r="C9" s="164">
        <f>'04'!E11</f>
        <v>130696.59</v>
      </c>
      <c r="D9" s="111">
        <f>'04'!F11</f>
        <v>129640</v>
      </c>
      <c r="E9" s="162">
        <f>'04'!G11</f>
        <v>129640</v>
      </c>
      <c r="F9" s="162">
        <f>'04'!H11</f>
        <v>97232.5</v>
      </c>
      <c r="G9" s="887">
        <f>+'04'!L11</f>
        <v>130940</v>
      </c>
      <c r="H9" s="110">
        <f>+G9/D9*100</f>
        <v>101.0027769207035</v>
      </c>
    </row>
    <row r="10" spans="1:8" ht="15" customHeight="1" x14ac:dyDescent="0.25">
      <c r="A10" s="108" t="s">
        <v>95</v>
      </c>
      <c r="B10" s="111">
        <f>'05'!D22+'05'!D38</f>
        <v>531391</v>
      </c>
      <c r="C10" s="164">
        <f>'05'!E22+'05'!E38</f>
        <v>808054.15</v>
      </c>
      <c r="D10" s="111">
        <f>'05'!F22+'05'!F38</f>
        <v>407646</v>
      </c>
      <c r="E10" s="162">
        <f>'05'!G22+'05'!G38</f>
        <v>413873.02</v>
      </c>
      <c r="F10" s="162">
        <f>'05'!H22+'05'!H38</f>
        <v>330806.2</v>
      </c>
      <c r="G10" s="887">
        <f>'05'!L22+'05'!L38</f>
        <v>458100</v>
      </c>
      <c r="H10" s="110">
        <f t="shared" ref="H10:H15" si="0">+G10/D10*100</f>
        <v>112.37691526471498</v>
      </c>
    </row>
    <row r="11" spans="1:8" ht="15" customHeight="1" x14ac:dyDescent="0.25">
      <c r="A11" s="108" t="s">
        <v>30</v>
      </c>
      <c r="B11" s="111">
        <f>+'06'!D19+'06'!D29+'06'!D48+'06'!D80</f>
        <v>81465</v>
      </c>
      <c r="C11" s="164">
        <f>+'06'!E19+'06'!E29+'06'!E48+'06'!E80</f>
        <v>115646.9</v>
      </c>
      <c r="D11" s="111">
        <f>+'06'!F19+'06'!F29+'06'!F48+'06'!F80</f>
        <v>79984</v>
      </c>
      <c r="E11" s="162">
        <f>+'06'!G19+'06'!G29+'06'!G48+'06'!G80</f>
        <v>81845</v>
      </c>
      <c r="F11" s="162">
        <f>+'06'!H19+'06'!H29+'06'!H48+'06'!H80</f>
        <v>61334.729999999996</v>
      </c>
      <c r="G11" s="887">
        <f>+'06'!L19+'06'!L29+'06'!L48+'06'!L80</f>
        <v>75697</v>
      </c>
      <c r="H11" s="110">
        <f t="shared" si="0"/>
        <v>94.640178035607121</v>
      </c>
    </row>
    <row r="12" spans="1:8" ht="15" customHeight="1" x14ac:dyDescent="0.25">
      <c r="A12" s="108" t="s">
        <v>31</v>
      </c>
      <c r="B12" s="111">
        <f>+'07'!D13+'07'!D18</f>
        <v>57074</v>
      </c>
      <c r="C12" s="164">
        <f>+'07'!E13+'07'!E18</f>
        <v>60636.97</v>
      </c>
      <c r="D12" s="111">
        <f>+'07'!F13+'07'!F18</f>
        <v>24050</v>
      </c>
      <c r="E12" s="162">
        <f>+'07'!G13+'07'!G18</f>
        <v>24050</v>
      </c>
      <c r="F12" s="162">
        <f>+'07'!H13+'07'!H18</f>
        <v>18037.349999999999</v>
      </c>
      <c r="G12" s="887">
        <f>+'07'!L13+'07'!L18</f>
        <v>6038</v>
      </c>
      <c r="H12" s="110">
        <f t="shared" si="0"/>
        <v>25.106029106029105</v>
      </c>
    </row>
    <row r="13" spans="1:8" ht="15" customHeight="1" x14ac:dyDescent="0.25">
      <c r="A13" s="108" t="s">
        <v>33</v>
      </c>
      <c r="B13" s="111">
        <f>+'09'!D14</f>
        <v>4321</v>
      </c>
      <c r="C13" s="164">
        <f>+'09'!E14</f>
        <v>4321</v>
      </c>
      <c r="D13" s="111">
        <f>+'09'!F14</f>
        <v>4955</v>
      </c>
      <c r="E13" s="162">
        <f>+'09'!G14</f>
        <v>4530</v>
      </c>
      <c r="F13" s="162">
        <f>+'09'!H14</f>
        <v>3450.62</v>
      </c>
      <c r="G13" s="887">
        <f>+'09'!L14</f>
        <v>4804</v>
      </c>
      <c r="H13" s="110">
        <f t="shared" si="0"/>
        <v>96.952573158425835</v>
      </c>
    </row>
    <row r="14" spans="1:8" ht="15" customHeight="1" x14ac:dyDescent="0.25">
      <c r="A14" s="108" t="s">
        <v>37</v>
      </c>
      <c r="B14" s="111">
        <f>+'17'!D10+'17'!D17+'17'!D23+'17'!D28+'17'!D33+'17'!D38+'17'!D43+'17'!D48+'17'!D53+'17'!D59+'17'!D64+'17'!D69+'17'!D74+'17'!D79</f>
        <v>94165</v>
      </c>
      <c r="C14" s="164">
        <f>+'17'!E10+'17'!E17+'17'!E23+'17'!E28+'17'!E33+'17'!E38+'17'!E43+'17'!E48+'17'!E53+'17'!E59+'17'!E64+'17'!E69+'17'!E74+'17'!E79</f>
        <v>183368.53300000002</v>
      </c>
      <c r="D14" s="111">
        <f>+'17'!F10+'17'!F17+'17'!F23+'17'!F28+'17'!F33+'17'!F38+'17'!F43+'17'!F48+'17'!F53+'17'!F59+'17'!F64+'17'!F69+'17'!F74+'17'!F79</f>
        <v>104540</v>
      </c>
      <c r="E14" s="162">
        <f>+'17'!G10+'17'!G17+'17'!G23+'17'!G28+'17'!G33+'17'!G38+'17'!G43+'17'!G48+'17'!G53+'17'!G59+'17'!G64+'17'!G69+'17'!G74+'17'!G79</f>
        <v>93671.709999999992</v>
      </c>
      <c r="F14" s="162">
        <f>+'17'!H10+'17'!H17+'17'!H23+'17'!H28+'17'!H33+'17'!H38+'17'!H43+'17'!H48+'17'!H53+'17'!H59+'17'!H64+'17'!H69+'17'!H74+'17'!H79</f>
        <v>92490.61</v>
      </c>
      <c r="G14" s="887">
        <f>+'17'!L10+'17'!L17+'17'!L23+'17'!L28+'17'!L33+'17'!L38+'17'!L43+'17'!L48+'17'!L53+'17'!L59+'17'!L64+'17'!L69+'17'!L74+'17'!L79</f>
        <v>105420</v>
      </c>
      <c r="H14" s="110">
        <f t="shared" si="0"/>
        <v>100.8417830495504</v>
      </c>
    </row>
    <row r="15" spans="1:8" ht="15" customHeight="1" thickBot="1" x14ac:dyDescent="0.3">
      <c r="A15" s="108" t="s">
        <v>286</v>
      </c>
      <c r="B15" s="111">
        <f>+'26'!D13+'26'!D21</f>
        <v>37728</v>
      </c>
      <c r="C15" s="164">
        <f>+'26'!E13+'26'!E21</f>
        <v>37728</v>
      </c>
      <c r="D15" s="111">
        <f>+'26'!F13+'26'!F21</f>
        <v>42715</v>
      </c>
      <c r="E15" s="162">
        <f>+'26'!G13+'26'!G21</f>
        <v>41165</v>
      </c>
      <c r="F15" s="162">
        <f>+'26'!H13+'26'!H21</f>
        <v>30967.5</v>
      </c>
      <c r="G15" s="887">
        <f>+'26'!L13+'26'!L21</f>
        <v>43774</v>
      </c>
      <c r="H15" s="110">
        <f t="shared" si="0"/>
        <v>102.47922275547232</v>
      </c>
    </row>
    <row r="16" spans="1:8" ht="30.75" customHeight="1" thickBot="1" x14ac:dyDescent="0.25">
      <c r="A16" s="275" t="s">
        <v>247</v>
      </c>
      <c r="B16" s="276">
        <f t="shared" ref="B16:G16" si="1">SUM(B9:B15)</f>
        <v>933237</v>
      </c>
      <c r="C16" s="277">
        <f t="shared" si="1"/>
        <v>1340452.1429999999</v>
      </c>
      <c r="D16" s="278">
        <f t="shared" si="1"/>
        <v>793530</v>
      </c>
      <c r="E16" s="279">
        <f t="shared" si="1"/>
        <v>788774.73</v>
      </c>
      <c r="F16" s="280">
        <f t="shared" si="1"/>
        <v>634319.51</v>
      </c>
      <c r="G16" s="147">
        <f t="shared" si="1"/>
        <v>824773</v>
      </c>
      <c r="H16" s="281">
        <f>+G16/D16*100</f>
        <v>103.93721724446461</v>
      </c>
    </row>
    <row r="17" spans="1:8" s="28" customFormat="1" ht="15" customHeight="1" x14ac:dyDescent="0.2"/>
    <row r="18" spans="1:8" s="28" customFormat="1" ht="15" customHeight="1" thickBot="1" x14ac:dyDescent="0.3">
      <c r="A18" s="35" t="s">
        <v>456</v>
      </c>
      <c r="B18" s="38"/>
      <c r="D18" s="38"/>
      <c r="H18" s="265" t="s">
        <v>0</v>
      </c>
    </row>
    <row r="19" spans="1:8" s="28" customFormat="1" ht="15" customHeight="1" x14ac:dyDescent="0.2">
      <c r="A19" s="1226" t="s">
        <v>1</v>
      </c>
      <c r="B19" s="1208" t="s">
        <v>283</v>
      </c>
      <c r="C19" s="1209"/>
      <c r="D19" s="1208" t="s">
        <v>390</v>
      </c>
      <c r="E19" s="1212"/>
      <c r="F19" s="1209"/>
      <c r="G19" s="1213" t="s">
        <v>484</v>
      </c>
      <c r="H19" s="1215" t="s">
        <v>485</v>
      </c>
    </row>
    <row r="20" spans="1:8" s="28" customFormat="1" ht="27.75" customHeight="1" thickBot="1" x14ac:dyDescent="0.25">
      <c r="A20" s="1227"/>
      <c r="B20" s="267" t="s">
        <v>109</v>
      </c>
      <c r="C20" s="272" t="s">
        <v>110</v>
      </c>
      <c r="D20" s="267" t="s">
        <v>109</v>
      </c>
      <c r="E20" s="268" t="s">
        <v>586</v>
      </c>
      <c r="F20" s="269" t="s">
        <v>587</v>
      </c>
      <c r="G20" s="1214"/>
      <c r="H20" s="1216"/>
    </row>
    <row r="21" spans="1:8" s="28" customFormat="1" ht="15" customHeight="1" x14ac:dyDescent="0.25">
      <c r="A21" s="108" t="s">
        <v>29</v>
      </c>
      <c r="B21" s="857" t="s">
        <v>60</v>
      </c>
      <c r="C21" s="858" t="s">
        <v>60</v>
      </c>
      <c r="D21" s="111">
        <f>+'04'!F14</f>
        <v>6350</v>
      </c>
      <c r="E21" s="162">
        <f>+'04'!G14</f>
        <v>6350</v>
      </c>
      <c r="F21" s="162">
        <f>+'04'!H14</f>
        <v>4760</v>
      </c>
      <c r="G21" s="887">
        <f>+'04'!L14</f>
        <v>4350</v>
      </c>
      <c r="H21" s="110">
        <f t="shared" ref="H21:H26" si="2">+G21/D21*100</f>
        <v>68.503937007874015</v>
      </c>
    </row>
    <row r="22" spans="1:8" s="28" customFormat="1" ht="15" customHeight="1" x14ac:dyDescent="0.25">
      <c r="A22" s="108" t="s">
        <v>95</v>
      </c>
      <c r="B22" s="857" t="s">
        <v>60</v>
      </c>
      <c r="C22" s="858" t="s">
        <v>60</v>
      </c>
      <c r="D22" s="857">
        <f>+'05'!F25</f>
        <v>377520</v>
      </c>
      <c r="E22" s="162">
        <f>+'05'!G25</f>
        <v>373498.83</v>
      </c>
      <c r="F22" s="162">
        <f>+'05'!H25</f>
        <v>295747.83</v>
      </c>
      <c r="G22" s="887">
        <f>+'05'!L25</f>
        <v>354199</v>
      </c>
      <c r="H22" s="110">
        <f t="shared" si="2"/>
        <v>93.822578936215294</v>
      </c>
    </row>
    <row r="23" spans="1:8" s="28" customFormat="1" ht="15" customHeight="1" x14ac:dyDescent="0.25">
      <c r="A23" s="108" t="s">
        <v>30</v>
      </c>
      <c r="B23" s="857" t="s">
        <v>60</v>
      </c>
      <c r="C23" s="858" t="s">
        <v>60</v>
      </c>
      <c r="D23" s="857">
        <f>+'06'!F22+'06'!F32+'06'!F51+'06'!F83</f>
        <v>39544</v>
      </c>
      <c r="E23" s="162">
        <f>+'06'!G22+'06'!G32+'06'!G51+'06'!G83</f>
        <v>39544</v>
      </c>
      <c r="F23" s="162">
        <f>+'06'!H22+'06'!H32+'06'!H51+'06'!H83</f>
        <v>29737.100000000002</v>
      </c>
      <c r="G23" s="887">
        <f>+'06'!L22+'06'!L32+'06'!L51+'06'!L83</f>
        <v>40307</v>
      </c>
      <c r="H23" s="110">
        <f t="shared" si="2"/>
        <v>101.92949625733361</v>
      </c>
    </row>
    <row r="24" spans="1:8" s="28" customFormat="1" ht="15" customHeight="1" x14ac:dyDescent="0.25">
      <c r="A24" s="108" t="s">
        <v>31</v>
      </c>
      <c r="B24" s="857" t="s">
        <v>60</v>
      </c>
      <c r="C24" s="858" t="s">
        <v>60</v>
      </c>
      <c r="D24" s="857">
        <f>+'07'!F16+'07'!F21</f>
        <v>15554</v>
      </c>
      <c r="E24" s="162">
        <f>+'07'!G16+'07'!G21</f>
        <v>15554</v>
      </c>
      <c r="F24" s="162">
        <f>+'07'!H16+'07'!H21</f>
        <v>11665.349999999999</v>
      </c>
      <c r="G24" s="887">
        <f>+'07'!L16+'07'!L21</f>
        <v>16139</v>
      </c>
      <c r="H24" s="110">
        <f t="shared" si="2"/>
        <v>103.76109039475377</v>
      </c>
    </row>
    <row r="25" spans="1:8" s="28" customFormat="1" ht="15" customHeight="1" x14ac:dyDescent="0.25">
      <c r="A25" s="108" t="s">
        <v>33</v>
      </c>
      <c r="B25" s="857" t="s">
        <v>60</v>
      </c>
      <c r="C25" s="858" t="s">
        <v>60</v>
      </c>
      <c r="D25" s="857">
        <f>+'09'!F17</f>
        <v>0</v>
      </c>
      <c r="E25" s="162">
        <f>+'09'!G17</f>
        <v>350</v>
      </c>
      <c r="F25" s="162">
        <f>+'09'!H17</f>
        <v>218.75</v>
      </c>
      <c r="G25" s="887">
        <f>+'09'!L17</f>
        <v>276</v>
      </c>
      <c r="H25" s="852" t="s">
        <v>60</v>
      </c>
    </row>
    <row r="26" spans="1:8" s="28" customFormat="1" ht="15" customHeight="1" x14ac:dyDescent="0.25">
      <c r="A26" s="108" t="s">
        <v>37</v>
      </c>
      <c r="B26" s="857" t="s">
        <v>60</v>
      </c>
      <c r="C26" s="858" t="s">
        <v>60</v>
      </c>
      <c r="D26" s="857">
        <f>+'17'!F13+'17'!F20+'17'!F26+'17'!F31+'17'!F36+'17'!F41+'17'!F46+'17'!F51+'17'!F56+'17'!F62+'17'!F67+'17'!F72+'17'!F77+'17'!F82</f>
        <v>155504</v>
      </c>
      <c r="E26" s="162">
        <f>+'17'!G13+'17'!G20+'17'!G26+'17'!G31+'17'!G36+'17'!G41+'17'!G46+'17'!G51+'17'!G56+'17'!G62+'17'!G67+'17'!G72+'17'!G77+'17'!G82</f>
        <v>155504</v>
      </c>
      <c r="F26" s="162">
        <f>+'17'!H13+'17'!H20+'17'!H26+'17'!H31+'17'!H36+'17'!H41+'17'!H46+'17'!H51+'17'!H56+'17'!H62+'17'!H67+'17'!H72+'17'!H77+'17'!H82</f>
        <v>23253.690000000002</v>
      </c>
      <c r="G26" s="887">
        <f>+'17'!L13+'17'!L20+'17'!L26+'17'!L31+'17'!L36+'17'!L41+'17'!L46+'17'!L51+'17'!L56+'17'!L62+'17'!L67+'17'!L72+'17'!L77+'17'!L82</f>
        <v>90965</v>
      </c>
      <c r="H26" s="110">
        <f t="shared" si="2"/>
        <v>58.496887539870357</v>
      </c>
    </row>
    <row r="27" spans="1:8" s="28" customFormat="1" ht="15" customHeight="1" thickBot="1" x14ac:dyDescent="0.3">
      <c r="A27" s="108" t="s">
        <v>286</v>
      </c>
      <c r="B27" s="857" t="s">
        <v>60</v>
      </c>
      <c r="C27" s="858" t="s">
        <v>60</v>
      </c>
      <c r="D27" s="857">
        <v>0</v>
      </c>
      <c r="E27" s="162">
        <f>+'26'!G16</f>
        <v>1550</v>
      </c>
      <c r="F27" s="162">
        <f>+'26'!H16</f>
        <v>1162.5</v>
      </c>
      <c r="G27" s="887">
        <f>+'26'!L16</f>
        <v>1550</v>
      </c>
      <c r="H27" s="852" t="s">
        <v>60</v>
      </c>
    </row>
    <row r="28" spans="1:8" s="28" customFormat="1" ht="31.5" customHeight="1" thickBot="1" x14ac:dyDescent="0.25">
      <c r="A28" s="275" t="s">
        <v>457</v>
      </c>
      <c r="B28" s="859" t="s">
        <v>60</v>
      </c>
      <c r="C28" s="860" t="s">
        <v>60</v>
      </c>
      <c r="D28" s="861">
        <f>SUM(D21:D27)</f>
        <v>594472</v>
      </c>
      <c r="E28" s="862">
        <f>SUM(E21:E27)</f>
        <v>592350.83000000007</v>
      </c>
      <c r="F28" s="863">
        <f>SUM(F21:F27)</f>
        <v>366545.22</v>
      </c>
      <c r="G28" s="147">
        <f>SUM(G21:G27)</f>
        <v>507786</v>
      </c>
      <c r="H28" s="281">
        <f>+G28/D28*100</f>
        <v>85.417984362594041</v>
      </c>
    </row>
    <row r="29" spans="1:8" s="28" customFormat="1" ht="15" customHeight="1" x14ac:dyDescent="0.2"/>
    <row r="30" spans="1:8" ht="15" customHeight="1" thickBot="1" x14ac:dyDescent="0.3">
      <c r="A30" s="35" t="s">
        <v>399</v>
      </c>
      <c r="H30" s="32" t="s">
        <v>0</v>
      </c>
    </row>
    <row r="31" spans="1:8" ht="15.95" customHeight="1" x14ac:dyDescent="0.2">
      <c r="A31" s="1226" t="s">
        <v>1</v>
      </c>
      <c r="B31" s="1208" t="s">
        <v>283</v>
      </c>
      <c r="C31" s="1209"/>
      <c r="D31" s="1208" t="s">
        <v>390</v>
      </c>
      <c r="E31" s="1212"/>
      <c r="F31" s="1209"/>
      <c r="G31" s="1213" t="s">
        <v>484</v>
      </c>
      <c r="H31" s="1215" t="s">
        <v>485</v>
      </c>
    </row>
    <row r="32" spans="1:8" ht="27" customHeight="1" thickBot="1" x14ac:dyDescent="0.25">
      <c r="A32" s="1227"/>
      <c r="B32" s="267" t="s">
        <v>109</v>
      </c>
      <c r="C32" s="272" t="s">
        <v>110</v>
      </c>
      <c r="D32" s="267" t="s">
        <v>109</v>
      </c>
      <c r="E32" s="268" t="s">
        <v>586</v>
      </c>
      <c r="F32" s="269" t="s">
        <v>587</v>
      </c>
      <c r="G32" s="1214"/>
      <c r="H32" s="1216"/>
    </row>
    <row r="33" spans="1:11" ht="15" customHeight="1" x14ac:dyDescent="0.25">
      <c r="A33" s="108" t="s">
        <v>29</v>
      </c>
      <c r="B33" s="111">
        <f>+'04'!D12</f>
        <v>127700</v>
      </c>
      <c r="C33" s="164">
        <f>+'04'!E12</f>
        <v>130214</v>
      </c>
      <c r="D33" s="111">
        <f>+'04'!F12</f>
        <v>137363</v>
      </c>
      <c r="E33" s="162">
        <f>+'04'!G12</f>
        <v>147363</v>
      </c>
      <c r="F33" s="162">
        <f>+'04'!H12</f>
        <v>109022</v>
      </c>
      <c r="G33" s="887">
        <f>+'04'!L12</f>
        <v>154837</v>
      </c>
      <c r="H33" s="110">
        <f>+G33/D33*100</f>
        <v>112.72103841645857</v>
      </c>
    </row>
    <row r="34" spans="1:11" ht="15" customHeight="1" x14ac:dyDescent="0.25">
      <c r="A34" s="108" t="s">
        <v>95</v>
      </c>
      <c r="B34" s="111">
        <f>+'05'!D23+'05'!D79</f>
        <v>25865</v>
      </c>
      <c r="C34" s="164">
        <f>+'05'!E23+'05'!E79</f>
        <v>26556.94</v>
      </c>
      <c r="D34" s="111">
        <f>+'05'!F23+'05'!F79</f>
        <v>28451</v>
      </c>
      <c r="E34" s="162">
        <f>+'05'!G23+'05'!G79</f>
        <v>29776.440000000002</v>
      </c>
      <c r="F34" s="162">
        <f>+'05'!H23+'05'!H79</f>
        <v>23166.910000000003</v>
      </c>
      <c r="G34" s="887">
        <f>+'05'!L23+'05'!L79</f>
        <v>28451</v>
      </c>
      <c r="H34" s="110">
        <f t="shared" ref="H34:H39" si="3">+G34/D34*100</f>
        <v>100</v>
      </c>
    </row>
    <row r="35" spans="1:11" ht="15" customHeight="1" x14ac:dyDescent="0.25">
      <c r="A35" s="108" t="s">
        <v>30</v>
      </c>
      <c r="B35" s="111">
        <f>+'06'!D20+'06'!D30+'06'!D49+'06'!D81</f>
        <v>305148</v>
      </c>
      <c r="C35" s="164">
        <f>+'06'!E20+'06'!E30+'06'!E49+'06'!E81</f>
        <v>314266.32</v>
      </c>
      <c r="D35" s="111">
        <f>+'06'!F20+'06'!F30+'06'!F49+'06'!F81</f>
        <v>343579</v>
      </c>
      <c r="E35" s="162">
        <f>+'06'!G20+'06'!G30+'06'!G49+'06'!G81</f>
        <v>343579</v>
      </c>
      <c r="F35" s="162">
        <f>+'06'!H20+'06'!H30+'06'!H49+'06'!H81</f>
        <v>257647.81</v>
      </c>
      <c r="G35" s="887">
        <f>+'06'!L20+'06'!L30+'06'!L49+'06'!L81</f>
        <v>348561</v>
      </c>
      <c r="H35" s="110">
        <f t="shared" si="3"/>
        <v>101.45003041513014</v>
      </c>
    </row>
    <row r="36" spans="1:11" ht="15" customHeight="1" x14ac:dyDescent="0.25">
      <c r="A36" s="108" t="s">
        <v>31</v>
      </c>
      <c r="B36" s="111">
        <f>+'07'!D14+'07'!D19</f>
        <v>712900</v>
      </c>
      <c r="C36" s="164">
        <f>+'07'!E14+'07'!E19</f>
        <v>712454</v>
      </c>
      <c r="D36" s="111">
        <f>+'07'!F14+'07'!F19</f>
        <v>804351</v>
      </c>
      <c r="E36" s="162">
        <f>+'07'!G14+'07'!G19</f>
        <v>744351</v>
      </c>
      <c r="F36" s="162">
        <f>+'07'!H14+'07'!H19</f>
        <v>573263.15999999992</v>
      </c>
      <c r="G36" s="887">
        <f>+'07'!L14+'07'!L19</f>
        <v>706785</v>
      </c>
      <c r="H36" s="110">
        <f t="shared" si="3"/>
        <v>87.870220836425901</v>
      </c>
    </row>
    <row r="37" spans="1:11" ht="15" customHeight="1" x14ac:dyDescent="0.25">
      <c r="A37" s="108" t="s">
        <v>33</v>
      </c>
      <c r="B37" s="111">
        <f>+'09'!D15</f>
        <v>21737</v>
      </c>
      <c r="C37" s="164">
        <f>+'09'!E15</f>
        <v>22137.68</v>
      </c>
      <c r="D37" s="111">
        <f>+'09'!F15</f>
        <v>22438</v>
      </c>
      <c r="E37" s="162">
        <f>+'09'!G15</f>
        <v>22513</v>
      </c>
      <c r="F37" s="162">
        <f>+'09'!H15</f>
        <v>16875.37</v>
      </c>
      <c r="G37" s="887">
        <f>+'09'!L15</f>
        <v>23092</v>
      </c>
      <c r="H37" s="110">
        <f t="shared" si="3"/>
        <v>102.91469827970407</v>
      </c>
    </row>
    <row r="38" spans="1:11" ht="15" customHeight="1" x14ac:dyDescent="0.25">
      <c r="A38" s="108" t="s">
        <v>37</v>
      </c>
      <c r="B38" s="111">
        <f>+'17'!D11+'17'!D18+'17'!D24+'17'!D29+'17'!D34+'17'!D39+'17'!D44+'17'!D49+'17'!D54+'17'!D60+'17'!D65+'17'!D70+'17'!D75+'17'!D80</f>
        <v>232961</v>
      </c>
      <c r="C38" s="164">
        <f>+'17'!E11+'17'!E18+'17'!E24+'17'!E29+'17'!E34+'17'!E39+'17'!E44+'17'!E49+'17'!E54+'17'!E60+'17'!E65+'17'!E70+'17'!E75+'17'!E80</f>
        <v>260459.24</v>
      </c>
      <c r="D38" s="111">
        <f>+'17'!F11+'17'!F18+'17'!F24+'17'!F29+'17'!F34+'17'!F39+'17'!F44+'17'!F49+'17'!F54+'17'!F60+'17'!F65+'17'!F70+'17'!F75+'17'!F80</f>
        <v>232158</v>
      </c>
      <c r="E38" s="162">
        <f>+'17'!G11+'17'!G18+'17'!G24+'17'!G29+'17'!G34+'17'!G39+'17'!G44+'17'!G49+'17'!G54+'17'!G60+'17'!G65+'17'!G70+'17'!G75+'17'!G80</f>
        <v>239184.44999999998</v>
      </c>
      <c r="F38" s="162">
        <f>+'17'!H11+'17'!H18+'17'!H24+'17'!H29+'17'!H34+'17'!H39+'17'!H44+'17'!H49+'17'!H54+'17'!H60+'17'!H65+'17'!H70+'17'!H75+'17'!H80</f>
        <v>238939.12</v>
      </c>
      <c r="G38" s="887">
        <f>+'17'!L11+'17'!L18+'17'!L24+'17'!L29+'17'!L34+'17'!L39+'17'!L44+'17'!L49+'17'!L54+'17'!L60+'17'!L65+'17'!L70+'17'!L75+'17'!L80</f>
        <v>269320</v>
      </c>
      <c r="H38" s="1204">
        <f>+'17'!J11+'17'!J18+'17'!J24+'17'!J29+'17'!J34+'17'!J39+'17'!J44+'17'!J49+'17'!J54+'17'!J60+'17'!J65+'17'!J70+'17'!J75+'17'!J80</f>
        <v>26932</v>
      </c>
    </row>
    <row r="39" spans="1:11" ht="15" customHeight="1" thickBot="1" x14ac:dyDescent="0.3">
      <c r="A39" s="108" t="s">
        <v>286</v>
      </c>
      <c r="B39" s="111">
        <f>+'26'!D14</f>
        <v>52122</v>
      </c>
      <c r="C39" s="164">
        <f>+'26'!E14</f>
        <v>55355</v>
      </c>
      <c r="D39" s="111">
        <f>+'26'!F14</f>
        <v>61821</v>
      </c>
      <c r="E39" s="162">
        <f>+'26'!G14</f>
        <v>61821</v>
      </c>
      <c r="F39" s="162">
        <f>+'26'!H14</f>
        <v>46440</v>
      </c>
      <c r="G39" s="887">
        <f>+'26'!L14</f>
        <v>70000</v>
      </c>
      <c r="H39" s="110">
        <f t="shared" si="3"/>
        <v>113.23013215573997</v>
      </c>
    </row>
    <row r="40" spans="1:11" s="35" customFormat="1" ht="30.75" customHeight="1" thickBot="1" x14ac:dyDescent="0.3">
      <c r="A40" s="275" t="s">
        <v>458</v>
      </c>
      <c r="B40" s="276">
        <f t="shared" ref="B40:G40" si="4">SUM(B33:B39)</f>
        <v>1478433</v>
      </c>
      <c r="C40" s="277">
        <f t="shared" si="4"/>
        <v>1521443.18</v>
      </c>
      <c r="D40" s="278">
        <f t="shared" si="4"/>
        <v>1630161</v>
      </c>
      <c r="E40" s="279">
        <f t="shared" si="4"/>
        <v>1588587.89</v>
      </c>
      <c r="F40" s="280">
        <f t="shared" si="4"/>
        <v>1265354.3699999999</v>
      </c>
      <c r="G40" s="147">
        <f t="shared" si="4"/>
        <v>1601046</v>
      </c>
      <c r="H40" s="281">
        <f>+G40/D40*100</f>
        <v>98.213980091536968</v>
      </c>
    </row>
    <row r="41" spans="1:11" s="28" customFormat="1" x14ac:dyDescent="0.2"/>
    <row r="42" spans="1:11" ht="16.5" thickBot="1" x14ac:dyDescent="0.3">
      <c r="A42" s="35" t="s">
        <v>392</v>
      </c>
      <c r="H42" s="265" t="s">
        <v>0</v>
      </c>
    </row>
    <row r="43" spans="1:11" ht="15.75" customHeight="1" x14ac:dyDescent="0.2">
      <c r="A43" s="1226" t="s">
        <v>1</v>
      </c>
      <c r="B43" s="1208" t="s">
        <v>283</v>
      </c>
      <c r="C43" s="1209"/>
      <c r="D43" s="1208" t="s">
        <v>390</v>
      </c>
      <c r="E43" s="1212"/>
      <c r="F43" s="1209"/>
      <c r="G43" s="1213" t="s">
        <v>484</v>
      </c>
      <c r="H43" s="1215" t="s">
        <v>485</v>
      </c>
    </row>
    <row r="44" spans="1:11" ht="30" customHeight="1" thickBot="1" x14ac:dyDescent="0.25">
      <c r="A44" s="1227"/>
      <c r="B44" s="267" t="s">
        <v>109</v>
      </c>
      <c r="C44" s="272" t="s">
        <v>110</v>
      </c>
      <c r="D44" s="267" t="s">
        <v>109</v>
      </c>
      <c r="E44" s="268" t="s">
        <v>586</v>
      </c>
      <c r="F44" s="269" t="s">
        <v>587</v>
      </c>
      <c r="G44" s="1214"/>
      <c r="H44" s="1216"/>
    </row>
    <row r="45" spans="1:11" ht="15" customHeight="1" x14ac:dyDescent="0.25">
      <c r="A45" s="108" t="s">
        <v>29</v>
      </c>
      <c r="B45" s="111">
        <f>+'04'!D13</f>
        <v>1351938</v>
      </c>
      <c r="C45" s="111">
        <f>+'04'!E13</f>
        <v>1352618.35</v>
      </c>
      <c r="D45" s="111">
        <f>+'04'!F13</f>
        <v>1446574</v>
      </c>
      <c r="E45" s="162">
        <f>+'04'!G13</f>
        <v>1446574</v>
      </c>
      <c r="F45" s="162">
        <f>+'04'!H13</f>
        <v>1104588.05</v>
      </c>
      <c r="G45" s="887">
        <f>+'04'!L13</f>
        <v>1528630</v>
      </c>
      <c r="H45" s="110">
        <f>+G45/D45*100</f>
        <v>105.67243708237532</v>
      </c>
      <c r="J45" s="31"/>
      <c r="K45" s="31"/>
    </row>
    <row r="46" spans="1:11" ht="15" customHeight="1" x14ac:dyDescent="0.25">
      <c r="A46" s="108" t="s">
        <v>95</v>
      </c>
      <c r="B46" s="111">
        <f>+'05'!D24+'05'!D49</f>
        <v>93500</v>
      </c>
      <c r="C46" s="164">
        <f>+'05'!E24+'05'!E49</f>
        <v>64415.44</v>
      </c>
      <c r="D46" s="111">
        <f>+'05'!F24+'05'!F49</f>
        <v>101000</v>
      </c>
      <c r="E46" s="162">
        <f>+'05'!G24+'05'!G49</f>
        <v>103805.96</v>
      </c>
      <c r="F46" s="162">
        <f>+'05'!H24+'05'!H49</f>
        <v>52710.84</v>
      </c>
      <c r="G46" s="887">
        <f>+'05'!L24+'05'!L49</f>
        <v>102000</v>
      </c>
      <c r="H46" s="110">
        <f t="shared" ref="H46:H51" si="5">+G46/D46*100</f>
        <v>100.99009900990099</v>
      </c>
      <c r="J46" s="31"/>
      <c r="K46" s="31"/>
    </row>
    <row r="47" spans="1:11" ht="15" customHeight="1" x14ac:dyDescent="0.25">
      <c r="A47" s="108" t="s">
        <v>30</v>
      </c>
      <c r="B47" s="111">
        <f>+'06'!D82+'06'!D50+'06'!D31+'06'!D52+'06'!D82+'06'!D21</f>
        <v>16294</v>
      </c>
      <c r="C47" s="164">
        <f>+'06'!E82+'06'!E50+'06'!E31+'06'!E52+'06'!E82+'06'!E21</f>
        <v>16517.16</v>
      </c>
      <c r="D47" s="111">
        <f>+'06'!F82+'06'!F50+'06'!F31+'06'!F52+'06'!F21</f>
        <v>13732</v>
      </c>
      <c r="E47" s="162">
        <f>+'06'!G82+'06'!G50+'06'!G31+'06'!G52+'06'!G21</f>
        <v>14036.8</v>
      </c>
      <c r="F47" s="162">
        <f>+'06'!H82+'06'!H50+'06'!H31+'06'!H52+'06'!H21</f>
        <v>10147.57</v>
      </c>
      <c r="G47" s="887">
        <f>+'06'!L21+'06'!L31+'06'!L50+'06'!L82+'06'!L56</f>
        <v>13732</v>
      </c>
      <c r="H47" s="110">
        <f t="shared" si="5"/>
        <v>100</v>
      </c>
      <c r="J47" s="31"/>
      <c r="K47" s="31"/>
    </row>
    <row r="48" spans="1:11" ht="15" customHeight="1" x14ac:dyDescent="0.25">
      <c r="A48" s="108" t="s">
        <v>31</v>
      </c>
      <c r="B48" s="111">
        <f>+'07'!D15+'07'!D20</f>
        <v>5923</v>
      </c>
      <c r="C48" s="164">
        <f>+'07'!E15+'07'!E20</f>
        <v>7060.5</v>
      </c>
      <c r="D48" s="111">
        <f>+'07'!F15+'07'!F20</f>
        <v>4370</v>
      </c>
      <c r="E48" s="162">
        <f>+'07'!G15+'07'!G20</f>
        <v>4370</v>
      </c>
      <c r="F48" s="162">
        <f>+'07'!H15+'07'!H20</f>
        <v>3277.44</v>
      </c>
      <c r="G48" s="887">
        <f>+'07'!L15+'07'!L20</f>
        <v>2931</v>
      </c>
      <c r="H48" s="110">
        <f t="shared" si="5"/>
        <v>67.07093821510297</v>
      </c>
      <c r="J48" s="31"/>
      <c r="K48" s="31"/>
    </row>
    <row r="49" spans="1:11" ht="15" customHeight="1" x14ac:dyDescent="0.25">
      <c r="A49" s="108" t="s">
        <v>33</v>
      </c>
      <c r="B49" s="111">
        <f>+'09'!D16</f>
        <v>127</v>
      </c>
      <c r="C49" s="164">
        <f>+'09'!E16</f>
        <v>127</v>
      </c>
      <c r="D49" s="111">
        <f>+'09'!F16</f>
        <v>127</v>
      </c>
      <c r="E49" s="162">
        <f>+'09'!G16</f>
        <v>127</v>
      </c>
      <c r="F49" s="162">
        <f>+'09'!H16</f>
        <v>94.81</v>
      </c>
      <c r="G49" s="887">
        <f>+'09'!L16</f>
        <v>48</v>
      </c>
      <c r="H49" s="110">
        <f t="shared" si="5"/>
        <v>37.795275590551178</v>
      </c>
      <c r="J49" s="31"/>
      <c r="K49" s="31"/>
    </row>
    <row r="50" spans="1:11" ht="15" customHeight="1" x14ac:dyDescent="0.25">
      <c r="A50" s="108" t="s">
        <v>37</v>
      </c>
      <c r="B50" s="111">
        <f>+'17'!D12+'17'!D19+'17'!D25+'17'!D30+'17'!D35+'17'!D40+'17'!D45+'17'!D50+'17'!D55+'17'!D61+'17'!D66+'17'!D71+'17'!D76+'17'!D81+'17'!D109</f>
        <v>45695</v>
      </c>
      <c r="C50" s="164">
        <f>+'17'!E12+'17'!E19+'17'!E25+'17'!E30+'17'!E35+'17'!E40+'17'!E45+'17'!E50+'17'!E55+'17'!E61+'17'!E66+'17'!E71+'17'!E76+'17'!E81+'17'!E109</f>
        <v>24186.520000000004</v>
      </c>
      <c r="D50" s="111">
        <f>+'17'!F12+'17'!F19+'17'!F25+'17'!F30+'17'!F35+'17'!F40+'17'!F45+'17'!F50+'17'!F55+'17'!F61+'17'!F66+'17'!F71+'17'!F76+'17'!F81+'17'!F109</f>
        <v>39520</v>
      </c>
      <c r="E50" s="162">
        <f>+'17'!G12+'17'!G19+'17'!G25+'17'!G30+'17'!G35+'17'!G40+'17'!G45+'17'!G50+'17'!G55+'17'!G61+'17'!G66+'17'!G71+'17'!G76+'17'!G81+'17'!G109</f>
        <v>38956.130000000005</v>
      </c>
      <c r="F50" s="162">
        <f>+'17'!H12+'17'!H19+'17'!H25+'17'!H30+'17'!H35+'17'!H40+'17'!H45+'17'!H50+'17'!H55+'17'!H61+'17'!H66+'17'!H71+'17'!H76+'17'!H81+'17'!H109</f>
        <v>20022.669999999998</v>
      </c>
      <c r="G50" s="887">
        <f>+'17'!L12+'17'!L19+'17'!L25+'17'!L30+'17'!L35+'17'!L40+'17'!L45+'17'!L50+'17'!L55+'17'!L61+'17'!L66+'17'!L71+'17'!L76+'17'!L81+'17'!L109</f>
        <v>51260</v>
      </c>
      <c r="H50" s="110">
        <f t="shared" si="5"/>
        <v>129.7064777327935</v>
      </c>
      <c r="J50" s="31"/>
      <c r="K50" s="31"/>
    </row>
    <row r="51" spans="1:11" ht="15" customHeight="1" thickBot="1" x14ac:dyDescent="0.3">
      <c r="A51" s="429" t="s">
        <v>286</v>
      </c>
      <c r="B51" s="111">
        <f>+'26'!D15</f>
        <v>150</v>
      </c>
      <c r="C51" s="164">
        <f>+'26'!E15</f>
        <v>150</v>
      </c>
      <c r="D51" s="111">
        <f>+'26'!F15</f>
        <v>425</v>
      </c>
      <c r="E51" s="162">
        <f>+'26'!G15</f>
        <v>425</v>
      </c>
      <c r="F51" s="162">
        <f>+'26'!H15</f>
        <v>425</v>
      </c>
      <c r="G51" s="887">
        <f>+'26'!L15</f>
        <v>430</v>
      </c>
      <c r="H51" s="110">
        <f t="shared" si="5"/>
        <v>101.17647058823529</v>
      </c>
      <c r="J51" s="31"/>
      <c r="K51" s="31"/>
    </row>
    <row r="52" spans="1:11" ht="48" thickBot="1" x14ac:dyDescent="0.25">
      <c r="A52" s="275" t="s">
        <v>230</v>
      </c>
      <c r="B52" s="276">
        <f t="shared" ref="B52:G52" si="6">SUM(B45:B51)</f>
        <v>1513627</v>
      </c>
      <c r="C52" s="277">
        <f t="shared" si="6"/>
        <v>1465074.97</v>
      </c>
      <c r="D52" s="278">
        <f t="shared" si="6"/>
        <v>1605748</v>
      </c>
      <c r="E52" s="279">
        <f t="shared" si="6"/>
        <v>1608294.8900000001</v>
      </c>
      <c r="F52" s="280">
        <f t="shared" si="6"/>
        <v>1191266.3800000001</v>
      </c>
      <c r="G52" s="147">
        <f t="shared" si="6"/>
        <v>1699031</v>
      </c>
      <c r="H52" s="281">
        <f>+G52/D52*100</f>
        <v>105.80931752678502</v>
      </c>
      <c r="J52" s="31"/>
      <c r="K52" s="31"/>
    </row>
    <row r="53" spans="1:11" s="28" customFormat="1" ht="21" customHeight="1" x14ac:dyDescent="0.2"/>
    <row r="54" spans="1:11" ht="16.5" thickBot="1" x14ac:dyDescent="0.3">
      <c r="A54" s="35" t="s">
        <v>481</v>
      </c>
      <c r="H54" s="265" t="s">
        <v>0</v>
      </c>
    </row>
    <row r="55" spans="1:11" ht="15.75" customHeight="1" x14ac:dyDescent="0.2">
      <c r="A55" s="1226" t="s">
        <v>1</v>
      </c>
      <c r="B55" s="1208" t="s">
        <v>283</v>
      </c>
      <c r="C55" s="1209"/>
      <c r="D55" s="1208" t="s">
        <v>390</v>
      </c>
      <c r="E55" s="1212"/>
      <c r="F55" s="1209"/>
      <c r="G55" s="1213" t="s">
        <v>484</v>
      </c>
      <c r="H55" s="1215" t="s">
        <v>485</v>
      </c>
    </row>
    <row r="56" spans="1:11" ht="45.75" thickBot="1" x14ac:dyDescent="0.25">
      <c r="A56" s="1227"/>
      <c r="B56" s="267" t="s">
        <v>109</v>
      </c>
      <c r="C56" s="272" t="s">
        <v>110</v>
      </c>
      <c r="D56" s="267" t="s">
        <v>109</v>
      </c>
      <c r="E56" s="268" t="s">
        <v>586</v>
      </c>
      <c r="F56" s="269" t="s">
        <v>587</v>
      </c>
      <c r="G56" s="1214"/>
      <c r="H56" s="1216"/>
    </row>
    <row r="57" spans="1:11" ht="15" x14ac:dyDescent="0.25">
      <c r="A57" s="108" t="s">
        <v>29</v>
      </c>
      <c r="B57" s="111">
        <f t="shared" ref="B57:F62" si="7">+B9+B33+B45</f>
        <v>1606731</v>
      </c>
      <c r="C57" s="163">
        <f t="shared" si="7"/>
        <v>1613528.9400000002</v>
      </c>
      <c r="D57" s="111">
        <f t="shared" si="7"/>
        <v>1713577</v>
      </c>
      <c r="E57" s="162">
        <f t="shared" si="7"/>
        <v>1723577</v>
      </c>
      <c r="F57" s="162">
        <f t="shared" si="7"/>
        <v>1310842.55</v>
      </c>
      <c r="G57" s="888">
        <f t="shared" ref="G57:G63" si="8">+G9+G21+G33+G45</f>
        <v>1818757</v>
      </c>
      <c r="H57" s="110">
        <f>+G57/D57*100</f>
        <v>106.13803756703084</v>
      </c>
    </row>
    <row r="58" spans="1:11" ht="15" x14ac:dyDescent="0.25">
      <c r="A58" s="108" t="s">
        <v>95</v>
      </c>
      <c r="B58" s="111">
        <f t="shared" si="7"/>
        <v>650756</v>
      </c>
      <c r="C58" s="164">
        <f t="shared" si="7"/>
        <v>899026.53</v>
      </c>
      <c r="D58" s="111">
        <f t="shared" si="7"/>
        <v>537097</v>
      </c>
      <c r="E58" s="162">
        <f t="shared" si="7"/>
        <v>547455.42000000004</v>
      </c>
      <c r="F58" s="162">
        <f t="shared" si="7"/>
        <v>406683.94999999995</v>
      </c>
      <c r="G58" s="888">
        <f t="shared" si="8"/>
        <v>942750</v>
      </c>
      <c r="H58" s="110">
        <f t="shared" ref="H58:H63" si="9">+G58/D58*100</f>
        <v>175.52695323191156</v>
      </c>
    </row>
    <row r="59" spans="1:11" ht="15" x14ac:dyDescent="0.25">
      <c r="A59" s="108" t="s">
        <v>30</v>
      </c>
      <c r="B59" s="111">
        <f t="shared" si="7"/>
        <v>402907</v>
      </c>
      <c r="C59" s="164">
        <f t="shared" si="7"/>
        <v>446430.37999999995</v>
      </c>
      <c r="D59" s="111">
        <f t="shared" si="7"/>
        <v>437295</v>
      </c>
      <c r="E59" s="162">
        <f t="shared" si="7"/>
        <v>439460.8</v>
      </c>
      <c r="F59" s="162">
        <f t="shared" si="7"/>
        <v>329130.11</v>
      </c>
      <c r="G59" s="888">
        <f t="shared" si="8"/>
        <v>478297</v>
      </c>
      <c r="H59" s="110">
        <f t="shared" si="9"/>
        <v>109.37627917081147</v>
      </c>
    </row>
    <row r="60" spans="1:11" ht="15" x14ac:dyDescent="0.25">
      <c r="A60" s="108" t="s">
        <v>31</v>
      </c>
      <c r="B60" s="111">
        <f t="shared" si="7"/>
        <v>775897</v>
      </c>
      <c r="C60" s="164">
        <f t="shared" si="7"/>
        <v>780151.47</v>
      </c>
      <c r="D60" s="111">
        <f t="shared" si="7"/>
        <v>832771</v>
      </c>
      <c r="E60" s="162">
        <f t="shared" si="7"/>
        <v>772771</v>
      </c>
      <c r="F60" s="162">
        <f t="shared" si="7"/>
        <v>594577.94999999984</v>
      </c>
      <c r="G60" s="888">
        <f t="shared" si="8"/>
        <v>731893</v>
      </c>
      <c r="H60" s="110">
        <f t="shared" si="9"/>
        <v>87.886465787113139</v>
      </c>
    </row>
    <row r="61" spans="1:11" ht="15" x14ac:dyDescent="0.25">
      <c r="A61" s="108" t="s">
        <v>33</v>
      </c>
      <c r="B61" s="111">
        <f t="shared" si="7"/>
        <v>26185</v>
      </c>
      <c r="C61" s="164">
        <f t="shared" si="7"/>
        <v>26585.68</v>
      </c>
      <c r="D61" s="111">
        <f t="shared" si="7"/>
        <v>27520</v>
      </c>
      <c r="E61" s="162">
        <f t="shared" si="7"/>
        <v>27170</v>
      </c>
      <c r="F61" s="162">
        <f t="shared" si="7"/>
        <v>20420.8</v>
      </c>
      <c r="G61" s="888">
        <f t="shared" si="8"/>
        <v>28220</v>
      </c>
      <c r="H61" s="110">
        <f t="shared" si="9"/>
        <v>102.54360465116279</v>
      </c>
    </row>
    <row r="62" spans="1:11" ht="15" x14ac:dyDescent="0.25">
      <c r="A62" s="108" t="s">
        <v>37</v>
      </c>
      <c r="B62" s="111">
        <f t="shared" si="7"/>
        <v>372821</v>
      </c>
      <c r="C62" s="105">
        <f t="shared" si="7"/>
        <v>468014.29300000006</v>
      </c>
      <c r="D62" s="111">
        <f t="shared" si="7"/>
        <v>376218</v>
      </c>
      <c r="E62" s="162">
        <f t="shared" si="7"/>
        <v>371812.29</v>
      </c>
      <c r="F62" s="162">
        <f t="shared" si="7"/>
        <v>351452.39999999997</v>
      </c>
      <c r="G62" s="888">
        <f t="shared" si="8"/>
        <v>516965</v>
      </c>
      <c r="H62" s="110">
        <f t="shared" si="9"/>
        <v>137.41102233279639</v>
      </c>
    </row>
    <row r="63" spans="1:11" ht="15.75" thickBot="1" x14ac:dyDescent="0.3">
      <c r="A63" s="429" t="s">
        <v>286</v>
      </c>
      <c r="B63" s="111">
        <f>+B15+B39+B51</f>
        <v>90000</v>
      </c>
      <c r="C63" s="105">
        <f t="shared" ref="B63:D63" si="10">+C15+C39+C51</f>
        <v>93233</v>
      </c>
      <c r="D63" s="111">
        <f t="shared" si="10"/>
        <v>104961</v>
      </c>
      <c r="E63" s="162">
        <f>+E15+E39+E51</f>
        <v>103411</v>
      </c>
      <c r="F63" s="162">
        <f>+F15+F39+F51</f>
        <v>77832.5</v>
      </c>
      <c r="G63" s="888">
        <f t="shared" si="8"/>
        <v>115754</v>
      </c>
      <c r="H63" s="852">
        <f t="shared" si="9"/>
        <v>110.28286696963634</v>
      </c>
    </row>
    <row r="64" spans="1:11" ht="32.25" thickBot="1" x14ac:dyDescent="0.25">
      <c r="A64" s="275" t="s">
        <v>385</v>
      </c>
      <c r="B64" s="276">
        <f t="shared" ref="B64:G64" si="11">SUM(B57:B63)</f>
        <v>3925297</v>
      </c>
      <c r="C64" s="277">
        <f t="shared" si="11"/>
        <v>4326970.2930000005</v>
      </c>
      <c r="D64" s="278">
        <f t="shared" si="11"/>
        <v>4029439</v>
      </c>
      <c r="E64" s="279">
        <f t="shared" si="11"/>
        <v>3985657.51</v>
      </c>
      <c r="F64" s="280">
        <f t="shared" si="11"/>
        <v>3090940.2599999993</v>
      </c>
      <c r="G64" s="147">
        <f t="shared" si="11"/>
        <v>4632636</v>
      </c>
      <c r="H64" s="281">
        <f>+G64/D64*100</f>
        <v>114.96975137233744</v>
      </c>
    </row>
    <row r="67" spans="5:5" x14ac:dyDescent="0.2">
      <c r="E67" s="265"/>
    </row>
    <row r="407" spans="1:8" x14ac:dyDescent="0.2">
      <c r="A407" s="44"/>
      <c r="B407" s="29"/>
      <c r="C407" s="29"/>
      <c r="D407" s="29"/>
      <c r="E407" s="29"/>
      <c r="F407" s="29"/>
      <c r="H407" s="29"/>
    </row>
    <row r="409" spans="1:8" x14ac:dyDescent="0.2">
      <c r="G409" s="31"/>
    </row>
  </sheetData>
  <mergeCells count="25">
    <mergeCell ref="A7:A8"/>
    <mergeCell ref="B7:C7"/>
    <mergeCell ref="D7:F7"/>
    <mergeCell ref="H7:H8"/>
    <mergeCell ref="A43:A44"/>
    <mergeCell ref="B43:C43"/>
    <mergeCell ref="D43:F43"/>
    <mergeCell ref="H43:H44"/>
    <mergeCell ref="G7:G8"/>
    <mergeCell ref="A31:A32"/>
    <mergeCell ref="B31:C31"/>
    <mergeCell ref="D31:F31"/>
    <mergeCell ref="G31:G32"/>
    <mergeCell ref="H31:H32"/>
    <mergeCell ref="G43:G44"/>
    <mergeCell ref="A19:A20"/>
    <mergeCell ref="B19:C19"/>
    <mergeCell ref="D19:F19"/>
    <mergeCell ref="G19:G20"/>
    <mergeCell ref="H19:H20"/>
    <mergeCell ref="A55:A56"/>
    <mergeCell ref="B55:C55"/>
    <mergeCell ref="D55:F55"/>
    <mergeCell ref="G55:G56"/>
    <mergeCell ref="H55:H56"/>
  </mergeCells>
  <pageMargins left="0.70866141732283472" right="0.70866141732283472" top="0.78740157480314965" bottom="0.39370078740157483" header="0.31496062992125984" footer="0.31496062992125984"/>
  <pageSetup paperSize="9" scale="62"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39"/>
  <sheetViews>
    <sheetView workbookViewId="0"/>
  </sheetViews>
  <sheetFormatPr defaultColWidth="9.140625" defaultRowHeight="12.75" x14ac:dyDescent="0.2"/>
  <cols>
    <col min="1" max="1" width="42.42578125" style="29" customWidth="1"/>
    <col min="2" max="2" width="14.7109375" style="38" customWidth="1"/>
    <col min="3" max="3" width="14.7109375" style="28" customWidth="1"/>
    <col min="4" max="4" width="14.7109375" style="38" customWidth="1"/>
    <col min="5" max="7" width="14.7109375" style="28" customWidth="1"/>
    <col min="8" max="8" width="10.7109375" style="37" customWidth="1"/>
    <col min="9" max="16384" width="9.140625" style="29"/>
  </cols>
  <sheetData>
    <row r="1" spans="1:8" ht="15" customHeight="1" x14ac:dyDescent="0.2">
      <c r="A1" s="47"/>
    </row>
    <row r="2" spans="1:8" ht="24.95" customHeight="1" x14ac:dyDescent="0.35">
      <c r="A2" s="27" t="s">
        <v>486</v>
      </c>
    </row>
    <row r="3" spans="1:8" ht="15" customHeight="1" x14ac:dyDescent="0.2"/>
    <row r="4" spans="1:8" ht="20.100000000000001" customHeight="1" x14ac:dyDescent="0.3">
      <c r="A4" s="39" t="s">
        <v>39</v>
      </c>
    </row>
    <row r="5" spans="1:8" ht="15" customHeight="1" x14ac:dyDescent="0.3">
      <c r="A5" s="39"/>
    </row>
    <row r="6" spans="1:8" ht="15" customHeight="1" thickBot="1" x14ac:dyDescent="0.25">
      <c r="H6" s="265" t="s">
        <v>0</v>
      </c>
    </row>
    <row r="7" spans="1:8" ht="15.95" customHeight="1" x14ac:dyDescent="0.2">
      <c r="A7" s="1226" t="s">
        <v>1</v>
      </c>
      <c r="B7" s="1208" t="s">
        <v>283</v>
      </c>
      <c r="C7" s="1209"/>
      <c r="D7" s="1208" t="s">
        <v>390</v>
      </c>
      <c r="E7" s="1212"/>
      <c r="F7" s="1209"/>
      <c r="G7" s="1213" t="s">
        <v>484</v>
      </c>
      <c r="H7" s="1215" t="s">
        <v>485</v>
      </c>
    </row>
    <row r="8" spans="1:8" ht="27" customHeight="1" thickBot="1" x14ac:dyDescent="0.25">
      <c r="A8" s="1227"/>
      <c r="B8" s="267" t="s">
        <v>109</v>
      </c>
      <c r="C8" s="272" t="s">
        <v>110</v>
      </c>
      <c r="D8" s="267" t="s">
        <v>109</v>
      </c>
      <c r="E8" s="268" t="s">
        <v>586</v>
      </c>
      <c r="F8" s="269" t="s">
        <v>587</v>
      </c>
      <c r="G8" s="1214"/>
      <c r="H8" s="1216"/>
    </row>
    <row r="9" spans="1:8" ht="20.25" customHeight="1" x14ac:dyDescent="0.25">
      <c r="A9" s="108" t="s">
        <v>97</v>
      </c>
      <c r="B9" s="111">
        <v>105219</v>
      </c>
      <c r="C9" s="105">
        <f>+'01'!E19</f>
        <v>69174.87999999999</v>
      </c>
      <c r="D9" s="1191">
        <f>+'01'!F19</f>
        <v>77358</v>
      </c>
      <c r="E9" s="1058">
        <f>+'01'!G19</f>
        <v>82547.5</v>
      </c>
      <c r="F9" s="164">
        <f>+'01'!H19</f>
        <v>45459.35</v>
      </c>
      <c r="G9" s="937">
        <f>+'01'!L19</f>
        <v>78132</v>
      </c>
      <c r="H9" s="110">
        <f>G9/D9*100</f>
        <v>101.00054293027223</v>
      </c>
    </row>
    <row r="10" spans="1:8" s="850" customFormat="1" ht="21.75" customHeight="1" x14ac:dyDescent="0.25">
      <c r="A10" s="108" t="s">
        <v>98</v>
      </c>
      <c r="B10" s="111">
        <v>57032</v>
      </c>
      <c r="C10" s="105">
        <f>+'02'!E31</f>
        <v>67197.05</v>
      </c>
      <c r="D10" s="1191">
        <f>+'02'!F31</f>
        <v>86704</v>
      </c>
      <c r="E10" s="1059">
        <f>+'02'!G31</f>
        <v>90111.41</v>
      </c>
      <c r="F10" s="164">
        <f>+'02'!H31</f>
        <v>40169.060000000005</v>
      </c>
      <c r="G10" s="937">
        <f>+'02'!L31</f>
        <v>86609</v>
      </c>
      <c r="H10" s="110">
        <f t="shared" ref="H10:H32" si="0">G10/D10*100</f>
        <v>99.890431813987817</v>
      </c>
    </row>
    <row r="11" spans="1:8" ht="20.25" customHeight="1" x14ac:dyDescent="0.25">
      <c r="A11" s="108" t="s">
        <v>28</v>
      </c>
      <c r="B11" s="111">
        <v>55218</v>
      </c>
      <c r="C11" s="105">
        <f>+'03'!E12</f>
        <v>52470.62</v>
      </c>
      <c r="D11" s="1191">
        <f>+'03'!F12</f>
        <v>59083</v>
      </c>
      <c r="E11" s="1059">
        <f>+'03'!G12</f>
        <v>62953.08</v>
      </c>
      <c r="F11" s="164">
        <f>+'03'!H12</f>
        <v>38406.61</v>
      </c>
      <c r="G11" s="937">
        <f>+'03'!L12</f>
        <v>60874</v>
      </c>
      <c r="H11" s="110">
        <f t="shared" si="0"/>
        <v>103.03132880862516</v>
      </c>
    </row>
    <row r="12" spans="1:8" s="850" customFormat="1" ht="21" customHeight="1" x14ac:dyDescent="0.25">
      <c r="A12" s="108" t="s">
        <v>29</v>
      </c>
      <c r="B12" s="111">
        <v>1720265</v>
      </c>
      <c r="C12" s="105">
        <f>+'04'!E20</f>
        <v>1944694.61</v>
      </c>
      <c r="D12" s="1191">
        <f>+'04'!F20</f>
        <v>2091408</v>
      </c>
      <c r="E12" s="1059">
        <f>+'04'!G20</f>
        <v>2658075.62</v>
      </c>
      <c r="F12" s="164">
        <f>+'04'!H20</f>
        <v>2177589.9300000002</v>
      </c>
      <c r="G12" s="937">
        <f>+'04'!L20</f>
        <v>2847322</v>
      </c>
      <c r="H12" s="110">
        <f t="shared" si="0"/>
        <v>136.14378447438281</v>
      </c>
    </row>
    <row r="13" spans="1:8" ht="20.25" customHeight="1" x14ac:dyDescent="0.25">
      <c r="A13" s="108" t="s">
        <v>95</v>
      </c>
      <c r="B13" s="111">
        <v>813556</v>
      </c>
      <c r="C13" s="105">
        <f>+'05'!E115</f>
        <v>999269.4299999997</v>
      </c>
      <c r="D13" s="1191">
        <f>+'05'!F115</f>
        <v>1155417</v>
      </c>
      <c r="E13" s="1059">
        <f>+'05'!G115</f>
        <v>1124613.8199999998</v>
      </c>
      <c r="F13" s="164">
        <f>+'05'!H115</f>
        <v>805317.84</v>
      </c>
      <c r="G13" s="937">
        <f>+'05'!L115</f>
        <v>1170643</v>
      </c>
      <c r="H13" s="110">
        <f t="shared" si="0"/>
        <v>101.31779262378863</v>
      </c>
    </row>
    <row r="14" spans="1:8" ht="20.25" customHeight="1" x14ac:dyDescent="0.25">
      <c r="A14" s="108" t="s">
        <v>30</v>
      </c>
      <c r="B14" s="111">
        <v>452727</v>
      </c>
      <c r="C14" s="105">
        <f>+'06'!E87</f>
        <v>501646.75000000006</v>
      </c>
      <c r="D14" s="1191">
        <f>+'06'!F87</f>
        <v>536669</v>
      </c>
      <c r="E14" s="1059">
        <f>+'06'!G87</f>
        <v>544305.14999999991</v>
      </c>
      <c r="F14" s="164">
        <f>+'06'!H87</f>
        <v>395733.74000000005</v>
      </c>
      <c r="G14" s="937">
        <f>+'06'!L87</f>
        <v>548576</v>
      </c>
      <c r="H14" s="110">
        <f t="shared" si="0"/>
        <v>102.21868600571302</v>
      </c>
    </row>
    <row r="15" spans="1:8" ht="20.25" customHeight="1" x14ac:dyDescent="0.25">
      <c r="A15" s="108" t="s">
        <v>31</v>
      </c>
      <c r="B15" s="111">
        <v>859876</v>
      </c>
      <c r="C15" s="105">
        <f>+'07'!E27</f>
        <v>861833.94</v>
      </c>
      <c r="D15" s="1191">
        <f>+'07'!F27</f>
        <v>929774</v>
      </c>
      <c r="E15" s="1059">
        <f>+'07'!G27</f>
        <v>872275.80999999994</v>
      </c>
      <c r="F15" s="164">
        <f>+'07'!H27</f>
        <v>669274.25</v>
      </c>
      <c r="G15" s="937">
        <f>+'07'!L27</f>
        <v>815772</v>
      </c>
      <c r="H15" s="110">
        <f t="shared" si="0"/>
        <v>87.73874081228341</v>
      </c>
    </row>
    <row r="16" spans="1:8" ht="20.25" customHeight="1" x14ac:dyDescent="0.25">
      <c r="A16" s="108" t="s">
        <v>32</v>
      </c>
      <c r="B16" s="111">
        <v>9250</v>
      </c>
      <c r="C16" s="105">
        <f>+'08'!E23</f>
        <v>4556.01</v>
      </c>
      <c r="D16" s="1191">
        <f>+'08'!F23</f>
        <v>17350</v>
      </c>
      <c r="E16" s="1059">
        <f>+'08'!G23</f>
        <v>16716.25</v>
      </c>
      <c r="F16" s="164">
        <f>+'08'!H23</f>
        <v>2988.1000000000004</v>
      </c>
      <c r="G16" s="937">
        <f>+'08'!L23</f>
        <v>17218</v>
      </c>
      <c r="H16" s="110">
        <f t="shared" si="0"/>
        <v>99.239193083573483</v>
      </c>
    </row>
    <row r="17" spans="1:8" ht="20.25" customHeight="1" x14ac:dyDescent="0.25">
      <c r="A17" s="108" t="s">
        <v>33</v>
      </c>
      <c r="B17" s="111">
        <v>65830</v>
      </c>
      <c r="C17" s="105">
        <f>+'09'!E29</f>
        <v>65247.649999999994</v>
      </c>
      <c r="D17" s="1191">
        <f>+'09'!F29</f>
        <v>74252</v>
      </c>
      <c r="E17" s="1059">
        <f>+'09'!G29</f>
        <v>80767.5</v>
      </c>
      <c r="F17" s="164">
        <f>+'09'!H29</f>
        <v>65312.03</v>
      </c>
      <c r="G17" s="937">
        <f>+'09'!L29</f>
        <v>76451</v>
      </c>
      <c r="H17" s="110">
        <f t="shared" si="0"/>
        <v>102.9615363895922</v>
      </c>
    </row>
    <row r="18" spans="1:8" ht="20.25" customHeight="1" x14ac:dyDescent="0.25">
      <c r="A18" s="108" t="s">
        <v>34</v>
      </c>
      <c r="B18" s="111">
        <v>43001</v>
      </c>
      <c r="C18" s="105">
        <f>+'10'!E23</f>
        <v>46766.770000000004</v>
      </c>
      <c r="D18" s="1191">
        <f>+'10'!F23</f>
        <v>46011</v>
      </c>
      <c r="E18" s="1059">
        <f>+'10'!G23</f>
        <v>53600.619999999995</v>
      </c>
      <c r="F18" s="164">
        <f>+'10'!H23</f>
        <v>20866.54</v>
      </c>
      <c r="G18" s="937">
        <f>+'10'!L23</f>
        <v>47471</v>
      </c>
      <c r="H18" s="110">
        <f t="shared" si="0"/>
        <v>103.17315424572384</v>
      </c>
    </row>
    <row r="19" spans="1:8" ht="20.25" customHeight="1" x14ac:dyDescent="0.25">
      <c r="A19" s="108" t="s">
        <v>35</v>
      </c>
      <c r="B19" s="111">
        <v>14733</v>
      </c>
      <c r="C19" s="105">
        <f>+'11'!E32</f>
        <v>23700.089999999997</v>
      </c>
      <c r="D19" s="1191">
        <f>+'11'!F32</f>
        <v>20139</v>
      </c>
      <c r="E19" s="1059">
        <f>+'11'!G32</f>
        <v>59789.16</v>
      </c>
      <c r="F19" s="164">
        <f>+'11'!H32</f>
        <v>15733.88</v>
      </c>
      <c r="G19" s="937">
        <f>+'11'!L32</f>
        <v>20340</v>
      </c>
      <c r="H19" s="110">
        <f t="shared" si="0"/>
        <v>100.99806345896023</v>
      </c>
    </row>
    <row r="20" spans="1:8" ht="20.25" customHeight="1" x14ac:dyDescent="0.25">
      <c r="A20" s="108" t="s">
        <v>36</v>
      </c>
      <c r="B20" s="111">
        <v>4929</v>
      </c>
      <c r="C20" s="105">
        <f>+'13'!D37</f>
        <v>1652.17</v>
      </c>
      <c r="D20" s="1191">
        <f>+'13'!E37</f>
        <v>2974</v>
      </c>
      <c r="E20" s="1059">
        <f>+'13'!F37</f>
        <v>3695.08</v>
      </c>
      <c r="F20" s="164">
        <f>+'13'!G37</f>
        <v>1638.8</v>
      </c>
      <c r="G20" s="937">
        <f>+'13'!K37</f>
        <v>4000</v>
      </c>
      <c r="H20" s="110">
        <f t="shared" si="0"/>
        <v>134.49899125756556</v>
      </c>
    </row>
    <row r="21" spans="1:8" ht="20.25" customHeight="1" x14ac:dyDescent="0.25">
      <c r="A21" s="108" t="s">
        <v>54</v>
      </c>
      <c r="B21" s="111">
        <v>581459</v>
      </c>
      <c r="C21" s="105">
        <f>+'14'!E25</f>
        <v>603353.04999999993</v>
      </c>
      <c r="D21" s="1191">
        <f>+'14'!F25</f>
        <v>699662</v>
      </c>
      <c r="E21" s="1059">
        <f>+'14'!G25</f>
        <v>715043.1179999999</v>
      </c>
      <c r="F21" s="164">
        <f>+'14'!H25</f>
        <v>438280.68000000005</v>
      </c>
      <c r="G21" s="937">
        <f>+'14'!L25</f>
        <v>743459</v>
      </c>
      <c r="H21" s="110">
        <f t="shared" si="0"/>
        <v>106.25973684436198</v>
      </c>
    </row>
    <row r="22" spans="1:8" ht="20.25" customHeight="1" x14ac:dyDescent="0.25">
      <c r="A22" s="108" t="s">
        <v>81</v>
      </c>
      <c r="B22" s="111">
        <v>2020</v>
      </c>
      <c r="C22" s="105">
        <f>+'15'!D10</f>
        <v>2948.97</v>
      </c>
      <c r="D22" s="1191">
        <f>+'15'!E10</f>
        <v>2161</v>
      </c>
      <c r="E22" s="1059">
        <f>+'15'!F10</f>
        <v>6119.86</v>
      </c>
      <c r="F22" s="164">
        <f>+'15'!G10</f>
        <v>697.09</v>
      </c>
      <c r="G22" s="937">
        <f>+'15'!K10</f>
        <v>1422</v>
      </c>
      <c r="H22" s="110">
        <f t="shared" si="0"/>
        <v>65.802869042110132</v>
      </c>
    </row>
    <row r="23" spans="1:8" ht="20.25" customHeight="1" x14ac:dyDescent="0.25">
      <c r="A23" s="108" t="s">
        <v>55</v>
      </c>
      <c r="B23" s="111">
        <v>0</v>
      </c>
      <c r="C23" s="105">
        <f>+'16'!D11</f>
        <v>0</v>
      </c>
      <c r="D23" s="1191">
        <f>+'16'!E11</f>
        <v>50</v>
      </c>
      <c r="E23" s="1059">
        <f>+'16'!F11</f>
        <v>21</v>
      </c>
      <c r="F23" s="164">
        <f>+'16'!G11</f>
        <v>0</v>
      </c>
      <c r="G23" s="937">
        <f>+'16'!K11</f>
        <v>100</v>
      </c>
      <c r="H23" s="110">
        <f t="shared" si="0"/>
        <v>200</v>
      </c>
    </row>
    <row r="24" spans="1:8" ht="20.25" customHeight="1" x14ac:dyDescent="0.25">
      <c r="A24" s="108" t="s">
        <v>37</v>
      </c>
      <c r="B24" s="111">
        <v>389135</v>
      </c>
      <c r="C24" s="105">
        <f>+'17'!E115</f>
        <v>476324.88300000009</v>
      </c>
      <c r="D24" s="1191">
        <f>+'17'!F115</f>
        <v>559847</v>
      </c>
      <c r="E24" s="1059">
        <f>+'17'!G115</f>
        <v>652044.11</v>
      </c>
      <c r="F24" s="164">
        <f>+'17'!H115</f>
        <v>464888.06000000006</v>
      </c>
      <c r="G24" s="937">
        <f>+'17'!L115</f>
        <v>535445</v>
      </c>
      <c r="H24" s="110">
        <f t="shared" si="0"/>
        <v>95.641309143390956</v>
      </c>
    </row>
    <row r="25" spans="1:8" ht="20.25" customHeight="1" x14ac:dyDescent="0.25">
      <c r="A25" s="108" t="s">
        <v>82</v>
      </c>
      <c r="B25" s="111">
        <v>3687</v>
      </c>
      <c r="C25" s="105">
        <f>+'18'!D17</f>
        <v>2306.4299999999998</v>
      </c>
      <c r="D25" s="1191">
        <f>+'18'!E17</f>
        <v>3945</v>
      </c>
      <c r="E25" s="1059">
        <f>+'18'!F17</f>
        <v>4900</v>
      </c>
      <c r="F25" s="164">
        <f>+'18'!G17</f>
        <v>2179.4899999999998</v>
      </c>
      <c r="G25" s="937">
        <f>+'18'!K17</f>
        <v>3984</v>
      </c>
      <c r="H25" s="110">
        <f t="shared" si="0"/>
        <v>100.98859315589354</v>
      </c>
    </row>
    <row r="26" spans="1:8" ht="20.25" customHeight="1" x14ac:dyDescent="0.25">
      <c r="A26" s="108" t="s">
        <v>66</v>
      </c>
      <c r="B26" s="111">
        <v>0</v>
      </c>
      <c r="C26" s="105">
        <v>19720.599999999999</v>
      </c>
      <c r="D26" s="1191">
        <v>0</v>
      </c>
      <c r="E26" s="1059">
        <v>27436.17</v>
      </c>
      <c r="F26" s="164">
        <v>15691.53</v>
      </c>
      <c r="G26" s="937">
        <v>0</v>
      </c>
      <c r="H26" s="852" t="s">
        <v>60</v>
      </c>
    </row>
    <row r="27" spans="1:8" ht="20.25" customHeight="1" x14ac:dyDescent="0.25">
      <c r="A27" s="108" t="s">
        <v>38</v>
      </c>
      <c r="B27" s="111">
        <v>8550</v>
      </c>
      <c r="C27" s="105">
        <f>+'23'!D12</f>
        <v>20299.84</v>
      </c>
      <c r="D27" s="1191">
        <f>+'23'!E12</f>
        <v>9150</v>
      </c>
      <c r="E27" s="1059">
        <f>+'23'!F12</f>
        <v>45471.49</v>
      </c>
      <c r="F27" s="164">
        <f>+'23'!G12</f>
        <v>38651.93</v>
      </c>
      <c r="G27" s="937">
        <f>+'23'!K12</f>
        <v>9242</v>
      </c>
      <c r="H27" s="110">
        <f t="shared" si="0"/>
        <v>101.00546448087431</v>
      </c>
    </row>
    <row r="28" spans="1:8" ht="20.25" customHeight="1" x14ac:dyDescent="0.25">
      <c r="A28" s="108" t="s">
        <v>83</v>
      </c>
      <c r="B28" s="111">
        <v>6365</v>
      </c>
      <c r="C28" s="105">
        <f>+'24'!D12</f>
        <v>7476.26</v>
      </c>
      <c r="D28" s="1191">
        <f>+'24'!E12</f>
        <v>6810</v>
      </c>
      <c r="E28" s="1059">
        <f>+'24'!F12</f>
        <v>8150.5</v>
      </c>
      <c r="F28" s="164">
        <f>+'24'!G12</f>
        <v>4297.55</v>
      </c>
      <c r="G28" s="937">
        <f>+'24'!K12</f>
        <v>6878</v>
      </c>
      <c r="H28" s="110">
        <f t="shared" si="0"/>
        <v>100.99853157121879</v>
      </c>
    </row>
    <row r="29" spans="1:8" ht="20.25" customHeight="1" x14ac:dyDescent="0.25">
      <c r="A29" s="108" t="s">
        <v>84</v>
      </c>
      <c r="B29" s="111">
        <v>17791</v>
      </c>
      <c r="C29" s="105">
        <f>+'25'!E22</f>
        <v>13435.939999999999</v>
      </c>
      <c r="D29" s="1191">
        <f>+'25'!F22</f>
        <v>17699</v>
      </c>
      <c r="E29" s="1059">
        <f>+'25'!G22</f>
        <v>20723.810000000001</v>
      </c>
      <c r="F29" s="164">
        <f>+'25'!H22</f>
        <v>10167.93</v>
      </c>
      <c r="G29" s="937">
        <f>+'25'!L22</f>
        <v>18326</v>
      </c>
      <c r="H29" s="110">
        <f t="shared" si="0"/>
        <v>103.54257302672467</v>
      </c>
    </row>
    <row r="30" spans="1:8" ht="20.25" customHeight="1" x14ac:dyDescent="0.25">
      <c r="A30" s="108" t="s">
        <v>286</v>
      </c>
      <c r="B30" s="111">
        <v>3553037</v>
      </c>
      <c r="C30" s="105">
        <f>+'26'!E36</f>
        <v>4359987.2700000005</v>
      </c>
      <c r="D30" s="1191">
        <f>+'26'!F36</f>
        <v>4096369</v>
      </c>
      <c r="E30" s="1059">
        <f>+'26'!G36</f>
        <v>4807565.41</v>
      </c>
      <c r="F30" s="164">
        <f>+'26'!H36</f>
        <v>3859244.2600000002</v>
      </c>
      <c r="G30" s="937">
        <f>+'26'!L36</f>
        <v>5330594</v>
      </c>
      <c r="H30" s="110">
        <f t="shared" si="0"/>
        <v>130.12973196506468</v>
      </c>
    </row>
    <row r="31" spans="1:8" ht="20.25" customHeight="1" thickBot="1" x14ac:dyDescent="0.3">
      <c r="A31" s="108" t="s">
        <v>287</v>
      </c>
      <c r="B31" s="111">
        <v>25250</v>
      </c>
      <c r="C31" s="105">
        <f>+'27'!E15</f>
        <v>1321.68</v>
      </c>
      <c r="D31" s="1191">
        <f>+'27'!F15</f>
        <v>15000</v>
      </c>
      <c r="E31" s="1060">
        <f>+'27'!G15</f>
        <v>15466.160000000002</v>
      </c>
      <c r="F31" s="164">
        <f>+'27'!H15</f>
        <v>830.71999999999991</v>
      </c>
      <c r="G31" s="937">
        <f>+'27'!L15</f>
        <v>15150</v>
      </c>
      <c r="H31" s="110">
        <f t="shared" si="0"/>
        <v>101</v>
      </c>
    </row>
    <row r="32" spans="1:8" s="35" customFormat="1" ht="30.75" customHeight="1" thickBot="1" x14ac:dyDescent="0.3">
      <c r="A32" s="52" t="s">
        <v>59</v>
      </c>
      <c r="B32" s="41">
        <f t="shared" ref="B32:G32" si="1">SUM(B9:B31)</f>
        <v>8788930</v>
      </c>
      <c r="C32" s="42">
        <f t="shared" si="1"/>
        <v>10145384.892999999</v>
      </c>
      <c r="D32" s="53">
        <f t="shared" si="1"/>
        <v>10507832</v>
      </c>
      <c r="E32" s="43">
        <f t="shared" si="1"/>
        <v>11952392.628</v>
      </c>
      <c r="F32" s="1190">
        <f t="shared" si="1"/>
        <v>9113419.3699999992</v>
      </c>
      <c r="G32" s="938">
        <f t="shared" si="1"/>
        <v>12438008</v>
      </c>
      <c r="H32" s="54">
        <f t="shared" si="0"/>
        <v>118.36892710123269</v>
      </c>
    </row>
    <row r="33" spans="1:8" ht="16.5" thickBot="1" x14ac:dyDescent="0.3">
      <c r="B33" s="28"/>
      <c r="D33" s="28"/>
      <c r="F33" s="1057"/>
      <c r="H33" s="55"/>
    </row>
    <row r="34" spans="1:8" ht="30.75" customHeight="1" thickBot="1" x14ac:dyDescent="0.3">
      <c r="A34" s="114" t="s">
        <v>250</v>
      </c>
      <c r="B34" s="115">
        <v>0</v>
      </c>
      <c r="C34" s="118">
        <v>-20820.32</v>
      </c>
      <c r="D34" s="117">
        <v>0</v>
      </c>
      <c r="E34" s="118">
        <v>-22596.400000000001</v>
      </c>
      <c r="F34" s="116">
        <v>-17302.2</v>
      </c>
      <c r="H34" s="56"/>
    </row>
    <row r="35" spans="1:8" ht="32.25" customHeight="1" thickBot="1" x14ac:dyDescent="0.3">
      <c r="A35" s="36" t="s">
        <v>71</v>
      </c>
      <c r="B35" s="41">
        <f>SUM(B32+B34)</f>
        <v>8788930</v>
      </c>
      <c r="C35" s="42">
        <f>SUM(C32+C34)</f>
        <v>10124564.572999999</v>
      </c>
      <c r="D35" s="53">
        <f>SUM(D32+D34)</f>
        <v>10507832</v>
      </c>
      <c r="E35" s="43">
        <f>SUM(E32+E34)</f>
        <v>11929796.228</v>
      </c>
      <c r="F35" s="42">
        <f>SUM(F32+F34)</f>
        <v>9096117.1699999999</v>
      </c>
      <c r="G35" s="46"/>
      <c r="H35" s="55"/>
    </row>
    <row r="36" spans="1:8" x14ac:dyDescent="0.2">
      <c r="B36" s="28"/>
      <c r="D36" s="28"/>
    </row>
    <row r="37" spans="1:8" x14ac:dyDescent="0.2">
      <c r="B37" s="28"/>
      <c r="D37" s="28"/>
    </row>
    <row r="439" spans="1:8" x14ac:dyDescent="0.2">
      <c r="A439" s="44"/>
      <c r="B439" s="29"/>
      <c r="C439" s="29"/>
      <c r="D439" s="29"/>
      <c r="E439" s="29"/>
      <c r="F439" s="29"/>
      <c r="G439" s="31"/>
      <c r="H439" s="29"/>
    </row>
  </sheetData>
  <mergeCells count="5">
    <mergeCell ref="A7:A8"/>
    <mergeCell ref="B7:C7"/>
    <mergeCell ref="D7:F7"/>
    <mergeCell ref="G7:G8"/>
    <mergeCell ref="H7:H8"/>
  </mergeCells>
  <phoneticPr fontId="8" type="noConversion"/>
  <printOptions horizontalCentered="1"/>
  <pageMargins left="0.39370078740157483" right="0.39370078740157483" top="0.78740157480314965" bottom="0.39370078740157483" header="0.59055118110236227" footer="0.59055118110236227"/>
  <pageSetup paperSize="9"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21"/>
  <sheetViews>
    <sheetView zoomScaleNormal="100" workbookViewId="0"/>
  </sheetViews>
  <sheetFormatPr defaultRowHeight="12.75" x14ac:dyDescent="0.2"/>
  <cols>
    <col min="1" max="1" width="7.7109375" style="67" customWidth="1"/>
    <col min="2" max="2" width="6.7109375" style="1" customWidth="1"/>
    <col min="3" max="3" width="41.710937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6.7109375" style="843" customWidth="1"/>
    <col min="13" max="14" width="9.7109375" style="5" customWidth="1"/>
    <col min="15" max="15" width="17.85546875" style="1" bestFit="1" customWidth="1"/>
    <col min="16" max="257" width="9.140625" style="1"/>
    <col min="258" max="258" width="6.7109375" style="1" customWidth="1"/>
    <col min="259" max="259" width="41.5703125" style="1" customWidth="1"/>
    <col min="260" max="267" width="14.7109375" style="1" customWidth="1"/>
    <col min="268" max="268" width="16.7109375" style="1" customWidth="1"/>
    <col min="269" max="269" width="13.85546875" style="1" customWidth="1"/>
    <col min="270" max="270" width="14.7109375" style="1" customWidth="1"/>
    <col min="271" max="513" width="9.140625" style="1"/>
    <col min="514" max="514" width="6.7109375" style="1" customWidth="1"/>
    <col min="515" max="515" width="41.5703125" style="1" customWidth="1"/>
    <col min="516" max="523" width="14.7109375" style="1" customWidth="1"/>
    <col min="524" max="524" width="16.7109375" style="1" customWidth="1"/>
    <col min="525" max="525" width="13.85546875" style="1" customWidth="1"/>
    <col min="526" max="526" width="14.7109375" style="1" customWidth="1"/>
    <col min="527" max="769" width="9.140625" style="1"/>
    <col min="770" max="770" width="6.7109375" style="1" customWidth="1"/>
    <col min="771" max="771" width="41.5703125" style="1" customWidth="1"/>
    <col min="772" max="779" width="14.7109375" style="1" customWidth="1"/>
    <col min="780" max="780" width="16.7109375" style="1" customWidth="1"/>
    <col min="781" max="781" width="13.85546875" style="1" customWidth="1"/>
    <col min="782" max="782" width="14.7109375" style="1" customWidth="1"/>
    <col min="783" max="1025" width="9.140625" style="1"/>
    <col min="1026" max="1026" width="6.7109375" style="1" customWidth="1"/>
    <col min="1027" max="1027" width="41.5703125" style="1" customWidth="1"/>
    <col min="1028" max="1035" width="14.7109375" style="1" customWidth="1"/>
    <col min="1036" max="1036" width="16.7109375" style="1" customWidth="1"/>
    <col min="1037" max="1037" width="13.85546875" style="1" customWidth="1"/>
    <col min="1038" max="1038" width="14.7109375" style="1" customWidth="1"/>
    <col min="1039" max="1281" width="9.140625" style="1"/>
    <col min="1282" max="1282" width="6.7109375" style="1" customWidth="1"/>
    <col min="1283" max="1283" width="41.5703125" style="1" customWidth="1"/>
    <col min="1284" max="1291" width="14.7109375" style="1" customWidth="1"/>
    <col min="1292" max="1292" width="16.7109375" style="1" customWidth="1"/>
    <col min="1293" max="1293" width="13.85546875" style="1" customWidth="1"/>
    <col min="1294" max="1294" width="14.7109375" style="1" customWidth="1"/>
    <col min="1295" max="1537" width="9.140625" style="1"/>
    <col min="1538" max="1538" width="6.7109375" style="1" customWidth="1"/>
    <col min="1539" max="1539" width="41.5703125" style="1" customWidth="1"/>
    <col min="1540" max="1547" width="14.7109375" style="1" customWidth="1"/>
    <col min="1548" max="1548" width="16.7109375" style="1" customWidth="1"/>
    <col min="1549" max="1549" width="13.85546875" style="1" customWidth="1"/>
    <col min="1550" max="1550" width="14.7109375" style="1" customWidth="1"/>
    <col min="1551" max="1793" width="9.140625" style="1"/>
    <col min="1794" max="1794" width="6.7109375" style="1" customWidth="1"/>
    <col min="1795" max="1795" width="41.5703125" style="1" customWidth="1"/>
    <col min="1796" max="1803" width="14.7109375" style="1" customWidth="1"/>
    <col min="1804" max="1804" width="16.7109375" style="1" customWidth="1"/>
    <col min="1805" max="1805" width="13.85546875" style="1" customWidth="1"/>
    <col min="1806" max="1806" width="14.7109375" style="1" customWidth="1"/>
    <col min="1807" max="2049" width="9.140625" style="1"/>
    <col min="2050" max="2050" width="6.7109375" style="1" customWidth="1"/>
    <col min="2051" max="2051" width="41.5703125" style="1" customWidth="1"/>
    <col min="2052" max="2059" width="14.7109375" style="1" customWidth="1"/>
    <col min="2060" max="2060" width="16.7109375" style="1" customWidth="1"/>
    <col min="2061" max="2061" width="13.85546875" style="1" customWidth="1"/>
    <col min="2062" max="2062" width="14.7109375" style="1" customWidth="1"/>
    <col min="2063" max="2305" width="9.140625" style="1"/>
    <col min="2306" max="2306" width="6.7109375" style="1" customWidth="1"/>
    <col min="2307" max="2307" width="41.5703125" style="1" customWidth="1"/>
    <col min="2308" max="2315" width="14.7109375" style="1" customWidth="1"/>
    <col min="2316" max="2316" width="16.7109375" style="1" customWidth="1"/>
    <col min="2317" max="2317" width="13.85546875" style="1" customWidth="1"/>
    <col min="2318" max="2318" width="14.7109375" style="1" customWidth="1"/>
    <col min="2319" max="2561" width="9.140625" style="1"/>
    <col min="2562" max="2562" width="6.7109375" style="1" customWidth="1"/>
    <col min="2563" max="2563" width="41.5703125" style="1" customWidth="1"/>
    <col min="2564" max="2571" width="14.7109375" style="1" customWidth="1"/>
    <col min="2572" max="2572" width="16.7109375" style="1" customWidth="1"/>
    <col min="2573" max="2573" width="13.85546875" style="1" customWidth="1"/>
    <col min="2574" max="2574" width="14.7109375" style="1" customWidth="1"/>
    <col min="2575" max="2817" width="9.140625" style="1"/>
    <col min="2818" max="2818" width="6.7109375" style="1" customWidth="1"/>
    <col min="2819" max="2819" width="41.5703125" style="1" customWidth="1"/>
    <col min="2820" max="2827" width="14.7109375" style="1" customWidth="1"/>
    <col min="2828" max="2828" width="16.7109375" style="1" customWidth="1"/>
    <col min="2829" max="2829" width="13.85546875" style="1" customWidth="1"/>
    <col min="2830" max="2830" width="14.7109375" style="1" customWidth="1"/>
    <col min="2831" max="3073" width="9.140625" style="1"/>
    <col min="3074" max="3074" width="6.7109375" style="1" customWidth="1"/>
    <col min="3075" max="3075" width="41.5703125" style="1" customWidth="1"/>
    <col min="3076" max="3083" width="14.7109375" style="1" customWidth="1"/>
    <col min="3084" max="3084" width="16.7109375" style="1" customWidth="1"/>
    <col min="3085" max="3085" width="13.85546875" style="1" customWidth="1"/>
    <col min="3086" max="3086" width="14.7109375" style="1" customWidth="1"/>
    <col min="3087" max="3329" width="9.140625" style="1"/>
    <col min="3330" max="3330" width="6.7109375" style="1" customWidth="1"/>
    <col min="3331" max="3331" width="41.5703125" style="1" customWidth="1"/>
    <col min="3332" max="3339" width="14.7109375" style="1" customWidth="1"/>
    <col min="3340" max="3340" width="16.7109375" style="1" customWidth="1"/>
    <col min="3341" max="3341" width="13.85546875" style="1" customWidth="1"/>
    <col min="3342" max="3342" width="14.7109375" style="1" customWidth="1"/>
    <col min="3343" max="3585" width="9.140625" style="1"/>
    <col min="3586" max="3586" width="6.7109375" style="1" customWidth="1"/>
    <col min="3587" max="3587" width="41.5703125" style="1" customWidth="1"/>
    <col min="3588" max="3595" width="14.7109375" style="1" customWidth="1"/>
    <col min="3596" max="3596" width="16.7109375" style="1" customWidth="1"/>
    <col min="3597" max="3597" width="13.85546875" style="1" customWidth="1"/>
    <col min="3598" max="3598" width="14.7109375" style="1" customWidth="1"/>
    <col min="3599" max="3841" width="9.140625" style="1"/>
    <col min="3842" max="3842" width="6.7109375" style="1" customWidth="1"/>
    <col min="3843" max="3843" width="41.5703125" style="1" customWidth="1"/>
    <col min="3844" max="3851" width="14.7109375" style="1" customWidth="1"/>
    <col min="3852" max="3852" width="16.7109375" style="1" customWidth="1"/>
    <col min="3853" max="3853" width="13.85546875" style="1" customWidth="1"/>
    <col min="3854" max="3854" width="14.7109375" style="1" customWidth="1"/>
    <col min="3855" max="4097" width="9.140625" style="1"/>
    <col min="4098" max="4098" width="6.7109375" style="1" customWidth="1"/>
    <col min="4099" max="4099" width="41.5703125" style="1" customWidth="1"/>
    <col min="4100" max="4107" width="14.7109375" style="1" customWidth="1"/>
    <col min="4108" max="4108" width="16.7109375" style="1" customWidth="1"/>
    <col min="4109" max="4109" width="13.85546875" style="1" customWidth="1"/>
    <col min="4110" max="4110" width="14.7109375" style="1" customWidth="1"/>
    <col min="4111" max="4353" width="9.140625" style="1"/>
    <col min="4354" max="4354" width="6.7109375" style="1" customWidth="1"/>
    <col min="4355" max="4355" width="41.5703125" style="1" customWidth="1"/>
    <col min="4356" max="4363" width="14.7109375" style="1" customWidth="1"/>
    <col min="4364" max="4364" width="16.7109375" style="1" customWidth="1"/>
    <col min="4365" max="4365" width="13.85546875" style="1" customWidth="1"/>
    <col min="4366" max="4366" width="14.7109375" style="1" customWidth="1"/>
    <col min="4367" max="4609" width="9.140625" style="1"/>
    <col min="4610" max="4610" width="6.7109375" style="1" customWidth="1"/>
    <col min="4611" max="4611" width="41.5703125" style="1" customWidth="1"/>
    <col min="4612" max="4619" width="14.7109375" style="1" customWidth="1"/>
    <col min="4620" max="4620" width="16.7109375" style="1" customWidth="1"/>
    <col min="4621" max="4621" width="13.85546875" style="1" customWidth="1"/>
    <col min="4622" max="4622" width="14.7109375" style="1" customWidth="1"/>
    <col min="4623" max="4865" width="9.140625" style="1"/>
    <col min="4866" max="4866" width="6.7109375" style="1" customWidth="1"/>
    <col min="4867" max="4867" width="41.5703125" style="1" customWidth="1"/>
    <col min="4868" max="4875" width="14.7109375" style="1" customWidth="1"/>
    <col min="4876" max="4876" width="16.7109375" style="1" customWidth="1"/>
    <col min="4877" max="4877" width="13.85546875" style="1" customWidth="1"/>
    <col min="4878" max="4878" width="14.7109375" style="1" customWidth="1"/>
    <col min="4879" max="5121" width="9.140625" style="1"/>
    <col min="5122" max="5122" width="6.7109375" style="1" customWidth="1"/>
    <col min="5123" max="5123" width="41.5703125" style="1" customWidth="1"/>
    <col min="5124" max="5131" width="14.7109375" style="1" customWidth="1"/>
    <col min="5132" max="5132" width="16.7109375" style="1" customWidth="1"/>
    <col min="5133" max="5133" width="13.85546875" style="1" customWidth="1"/>
    <col min="5134" max="5134" width="14.7109375" style="1" customWidth="1"/>
    <col min="5135" max="5377" width="9.140625" style="1"/>
    <col min="5378" max="5378" width="6.7109375" style="1" customWidth="1"/>
    <col min="5379" max="5379" width="41.5703125" style="1" customWidth="1"/>
    <col min="5380" max="5387" width="14.7109375" style="1" customWidth="1"/>
    <col min="5388" max="5388" width="16.7109375" style="1" customWidth="1"/>
    <col min="5389" max="5389" width="13.85546875" style="1" customWidth="1"/>
    <col min="5390" max="5390" width="14.7109375" style="1" customWidth="1"/>
    <col min="5391" max="5633" width="9.140625" style="1"/>
    <col min="5634" max="5634" width="6.7109375" style="1" customWidth="1"/>
    <col min="5635" max="5635" width="41.5703125" style="1" customWidth="1"/>
    <col min="5636" max="5643" width="14.7109375" style="1" customWidth="1"/>
    <col min="5644" max="5644" width="16.7109375" style="1" customWidth="1"/>
    <col min="5645" max="5645" width="13.85546875" style="1" customWidth="1"/>
    <col min="5646" max="5646" width="14.7109375" style="1" customWidth="1"/>
    <col min="5647" max="5889" width="9.140625" style="1"/>
    <col min="5890" max="5890" width="6.7109375" style="1" customWidth="1"/>
    <col min="5891" max="5891" width="41.5703125" style="1" customWidth="1"/>
    <col min="5892" max="5899" width="14.7109375" style="1" customWidth="1"/>
    <col min="5900" max="5900" width="16.7109375" style="1" customWidth="1"/>
    <col min="5901" max="5901" width="13.85546875" style="1" customWidth="1"/>
    <col min="5902" max="5902" width="14.7109375" style="1" customWidth="1"/>
    <col min="5903" max="6145" width="9.140625" style="1"/>
    <col min="6146" max="6146" width="6.7109375" style="1" customWidth="1"/>
    <col min="6147" max="6147" width="41.5703125" style="1" customWidth="1"/>
    <col min="6148" max="6155" width="14.7109375" style="1" customWidth="1"/>
    <col min="6156" max="6156" width="16.7109375" style="1" customWidth="1"/>
    <col min="6157" max="6157" width="13.85546875" style="1" customWidth="1"/>
    <col min="6158" max="6158" width="14.7109375" style="1" customWidth="1"/>
    <col min="6159" max="6401" width="9.140625" style="1"/>
    <col min="6402" max="6402" width="6.7109375" style="1" customWidth="1"/>
    <col min="6403" max="6403" width="41.5703125" style="1" customWidth="1"/>
    <col min="6404" max="6411" width="14.7109375" style="1" customWidth="1"/>
    <col min="6412" max="6412" width="16.7109375" style="1" customWidth="1"/>
    <col min="6413" max="6413" width="13.85546875" style="1" customWidth="1"/>
    <col min="6414" max="6414" width="14.7109375" style="1" customWidth="1"/>
    <col min="6415" max="6657" width="9.140625" style="1"/>
    <col min="6658" max="6658" width="6.7109375" style="1" customWidth="1"/>
    <col min="6659" max="6659" width="41.5703125" style="1" customWidth="1"/>
    <col min="6660" max="6667" width="14.7109375" style="1" customWidth="1"/>
    <col min="6668" max="6668" width="16.7109375" style="1" customWidth="1"/>
    <col min="6669" max="6669" width="13.85546875" style="1" customWidth="1"/>
    <col min="6670" max="6670" width="14.7109375" style="1" customWidth="1"/>
    <col min="6671" max="6913" width="9.140625" style="1"/>
    <col min="6914" max="6914" width="6.7109375" style="1" customWidth="1"/>
    <col min="6915" max="6915" width="41.5703125" style="1" customWidth="1"/>
    <col min="6916" max="6923" width="14.7109375" style="1" customWidth="1"/>
    <col min="6924" max="6924" width="16.7109375" style="1" customWidth="1"/>
    <col min="6925" max="6925" width="13.85546875" style="1" customWidth="1"/>
    <col min="6926" max="6926" width="14.7109375" style="1" customWidth="1"/>
    <col min="6927" max="7169" width="9.140625" style="1"/>
    <col min="7170" max="7170" width="6.7109375" style="1" customWidth="1"/>
    <col min="7171" max="7171" width="41.5703125" style="1" customWidth="1"/>
    <col min="7172" max="7179" width="14.7109375" style="1" customWidth="1"/>
    <col min="7180" max="7180" width="16.7109375" style="1" customWidth="1"/>
    <col min="7181" max="7181" width="13.85546875" style="1" customWidth="1"/>
    <col min="7182" max="7182" width="14.7109375" style="1" customWidth="1"/>
    <col min="7183" max="7425" width="9.140625" style="1"/>
    <col min="7426" max="7426" width="6.7109375" style="1" customWidth="1"/>
    <col min="7427" max="7427" width="41.5703125" style="1" customWidth="1"/>
    <col min="7428" max="7435" width="14.7109375" style="1" customWidth="1"/>
    <col min="7436" max="7436" width="16.7109375" style="1" customWidth="1"/>
    <col min="7437" max="7437" width="13.85546875" style="1" customWidth="1"/>
    <col min="7438" max="7438" width="14.7109375" style="1" customWidth="1"/>
    <col min="7439" max="7681" width="9.140625" style="1"/>
    <col min="7682" max="7682" width="6.7109375" style="1" customWidth="1"/>
    <col min="7683" max="7683" width="41.5703125" style="1" customWidth="1"/>
    <col min="7684" max="7691" width="14.7109375" style="1" customWidth="1"/>
    <col min="7692" max="7692" width="16.7109375" style="1" customWidth="1"/>
    <col min="7693" max="7693" width="13.85546875" style="1" customWidth="1"/>
    <col min="7694" max="7694" width="14.7109375" style="1" customWidth="1"/>
    <col min="7695" max="7937" width="9.140625" style="1"/>
    <col min="7938" max="7938" width="6.7109375" style="1" customWidth="1"/>
    <col min="7939" max="7939" width="41.5703125" style="1" customWidth="1"/>
    <col min="7940" max="7947" width="14.7109375" style="1" customWidth="1"/>
    <col min="7948" max="7948" width="16.7109375" style="1" customWidth="1"/>
    <col min="7949" max="7949" width="13.85546875" style="1" customWidth="1"/>
    <col min="7950" max="7950" width="14.7109375" style="1" customWidth="1"/>
    <col min="7951" max="8193" width="9.140625" style="1"/>
    <col min="8194" max="8194" width="6.7109375" style="1" customWidth="1"/>
    <col min="8195" max="8195" width="41.5703125" style="1" customWidth="1"/>
    <col min="8196" max="8203" width="14.7109375" style="1" customWidth="1"/>
    <col min="8204" max="8204" width="16.7109375" style="1" customWidth="1"/>
    <col min="8205" max="8205" width="13.85546875" style="1" customWidth="1"/>
    <col min="8206" max="8206" width="14.7109375" style="1" customWidth="1"/>
    <col min="8207" max="8449" width="9.140625" style="1"/>
    <col min="8450" max="8450" width="6.7109375" style="1" customWidth="1"/>
    <col min="8451" max="8451" width="41.5703125" style="1" customWidth="1"/>
    <col min="8452" max="8459" width="14.7109375" style="1" customWidth="1"/>
    <col min="8460" max="8460" width="16.7109375" style="1" customWidth="1"/>
    <col min="8461" max="8461" width="13.85546875" style="1" customWidth="1"/>
    <col min="8462" max="8462" width="14.7109375" style="1" customWidth="1"/>
    <col min="8463" max="8705" width="9.140625" style="1"/>
    <col min="8706" max="8706" width="6.7109375" style="1" customWidth="1"/>
    <col min="8707" max="8707" width="41.5703125" style="1" customWidth="1"/>
    <col min="8708" max="8715" width="14.7109375" style="1" customWidth="1"/>
    <col min="8716" max="8716" width="16.7109375" style="1" customWidth="1"/>
    <col min="8717" max="8717" width="13.85546875" style="1" customWidth="1"/>
    <col min="8718" max="8718" width="14.7109375" style="1" customWidth="1"/>
    <col min="8719" max="8961" width="9.140625" style="1"/>
    <col min="8962" max="8962" width="6.7109375" style="1" customWidth="1"/>
    <col min="8963" max="8963" width="41.5703125" style="1" customWidth="1"/>
    <col min="8964" max="8971" width="14.7109375" style="1" customWidth="1"/>
    <col min="8972" max="8972" width="16.7109375" style="1" customWidth="1"/>
    <col min="8973" max="8973" width="13.85546875" style="1" customWidth="1"/>
    <col min="8974" max="8974" width="14.7109375" style="1" customWidth="1"/>
    <col min="8975" max="9217" width="9.140625" style="1"/>
    <col min="9218" max="9218" width="6.7109375" style="1" customWidth="1"/>
    <col min="9219" max="9219" width="41.5703125" style="1" customWidth="1"/>
    <col min="9220" max="9227" width="14.7109375" style="1" customWidth="1"/>
    <col min="9228" max="9228" width="16.7109375" style="1" customWidth="1"/>
    <col min="9229" max="9229" width="13.85546875" style="1" customWidth="1"/>
    <col min="9230" max="9230" width="14.7109375" style="1" customWidth="1"/>
    <col min="9231" max="9473" width="9.140625" style="1"/>
    <col min="9474" max="9474" width="6.7109375" style="1" customWidth="1"/>
    <col min="9475" max="9475" width="41.5703125" style="1" customWidth="1"/>
    <col min="9476" max="9483" width="14.7109375" style="1" customWidth="1"/>
    <col min="9484" max="9484" width="16.7109375" style="1" customWidth="1"/>
    <col min="9485" max="9485" width="13.85546875" style="1" customWidth="1"/>
    <col min="9486" max="9486" width="14.7109375" style="1" customWidth="1"/>
    <col min="9487" max="9729" width="9.140625" style="1"/>
    <col min="9730" max="9730" width="6.7109375" style="1" customWidth="1"/>
    <col min="9731" max="9731" width="41.5703125" style="1" customWidth="1"/>
    <col min="9732" max="9739" width="14.7109375" style="1" customWidth="1"/>
    <col min="9740" max="9740" width="16.7109375" style="1" customWidth="1"/>
    <col min="9741" max="9741" width="13.85546875" style="1" customWidth="1"/>
    <col min="9742" max="9742" width="14.7109375" style="1" customWidth="1"/>
    <col min="9743" max="9985" width="9.140625" style="1"/>
    <col min="9986" max="9986" width="6.7109375" style="1" customWidth="1"/>
    <col min="9987" max="9987" width="41.5703125" style="1" customWidth="1"/>
    <col min="9988" max="9995" width="14.7109375" style="1" customWidth="1"/>
    <col min="9996" max="9996" width="16.7109375" style="1" customWidth="1"/>
    <col min="9997" max="9997" width="13.85546875" style="1" customWidth="1"/>
    <col min="9998" max="9998" width="14.7109375" style="1" customWidth="1"/>
    <col min="9999" max="10241" width="9.140625" style="1"/>
    <col min="10242" max="10242" width="6.7109375" style="1" customWidth="1"/>
    <col min="10243" max="10243" width="41.5703125" style="1" customWidth="1"/>
    <col min="10244" max="10251" width="14.7109375" style="1" customWidth="1"/>
    <col min="10252" max="10252" width="16.7109375" style="1" customWidth="1"/>
    <col min="10253" max="10253" width="13.85546875" style="1" customWidth="1"/>
    <col min="10254" max="10254" width="14.7109375" style="1" customWidth="1"/>
    <col min="10255" max="10497" width="9.140625" style="1"/>
    <col min="10498" max="10498" width="6.7109375" style="1" customWidth="1"/>
    <col min="10499" max="10499" width="41.5703125" style="1" customWidth="1"/>
    <col min="10500" max="10507" width="14.7109375" style="1" customWidth="1"/>
    <col min="10508" max="10508" width="16.7109375" style="1" customWidth="1"/>
    <col min="10509" max="10509" width="13.85546875" style="1" customWidth="1"/>
    <col min="10510" max="10510" width="14.7109375" style="1" customWidth="1"/>
    <col min="10511" max="10753" width="9.140625" style="1"/>
    <col min="10754" max="10754" width="6.7109375" style="1" customWidth="1"/>
    <col min="10755" max="10755" width="41.5703125" style="1" customWidth="1"/>
    <col min="10756" max="10763" width="14.7109375" style="1" customWidth="1"/>
    <col min="10764" max="10764" width="16.7109375" style="1" customWidth="1"/>
    <col min="10765" max="10765" width="13.85546875" style="1" customWidth="1"/>
    <col min="10766" max="10766" width="14.7109375" style="1" customWidth="1"/>
    <col min="10767" max="11009" width="9.140625" style="1"/>
    <col min="11010" max="11010" width="6.7109375" style="1" customWidth="1"/>
    <col min="11011" max="11011" width="41.5703125" style="1" customWidth="1"/>
    <col min="11012" max="11019" width="14.7109375" style="1" customWidth="1"/>
    <col min="11020" max="11020" width="16.7109375" style="1" customWidth="1"/>
    <col min="11021" max="11021" width="13.85546875" style="1" customWidth="1"/>
    <col min="11022" max="11022" width="14.7109375" style="1" customWidth="1"/>
    <col min="11023" max="11265" width="9.140625" style="1"/>
    <col min="11266" max="11266" width="6.7109375" style="1" customWidth="1"/>
    <col min="11267" max="11267" width="41.5703125" style="1" customWidth="1"/>
    <col min="11268" max="11275" width="14.7109375" style="1" customWidth="1"/>
    <col min="11276" max="11276" width="16.7109375" style="1" customWidth="1"/>
    <col min="11277" max="11277" width="13.85546875" style="1" customWidth="1"/>
    <col min="11278" max="11278" width="14.7109375" style="1" customWidth="1"/>
    <col min="11279" max="11521" width="9.140625" style="1"/>
    <col min="11522" max="11522" width="6.7109375" style="1" customWidth="1"/>
    <col min="11523" max="11523" width="41.5703125" style="1" customWidth="1"/>
    <col min="11524" max="11531" width="14.7109375" style="1" customWidth="1"/>
    <col min="11532" max="11532" width="16.7109375" style="1" customWidth="1"/>
    <col min="11533" max="11533" width="13.85546875" style="1" customWidth="1"/>
    <col min="11534" max="11534" width="14.7109375" style="1" customWidth="1"/>
    <col min="11535" max="11777" width="9.140625" style="1"/>
    <col min="11778" max="11778" width="6.7109375" style="1" customWidth="1"/>
    <col min="11779" max="11779" width="41.5703125" style="1" customWidth="1"/>
    <col min="11780" max="11787" width="14.7109375" style="1" customWidth="1"/>
    <col min="11788" max="11788" width="16.7109375" style="1" customWidth="1"/>
    <col min="11789" max="11789" width="13.85546875" style="1" customWidth="1"/>
    <col min="11790" max="11790" width="14.7109375" style="1" customWidth="1"/>
    <col min="11791" max="12033" width="9.140625" style="1"/>
    <col min="12034" max="12034" width="6.7109375" style="1" customWidth="1"/>
    <col min="12035" max="12035" width="41.5703125" style="1" customWidth="1"/>
    <col min="12036" max="12043" width="14.7109375" style="1" customWidth="1"/>
    <col min="12044" max="12044" width="16.7109375" style="1" customWidth="1"/>
    <col min="12045" max="12045" width="13.85546875" style="1" customWidth="1"/>
    <col min="12046" max="12046" width="14.7109375" style="1" customWidth="1"/>
    <col min="12047" max="12289" width="9.140625" style="1"/>
    <col min="12290" max="12290" width="6.7109375" style="1" customWidth="1"/>
    <col min="12291" max="12291" width="41.5703125" style="1" customWidth="1"/>
    <col min="12292" max="12299" width="14.7109375" style="1" customWidth="1"/>
    <col min="12300" max="12300" width="16.7109375" style="1" customWidth="1"/>
    <col min="12301" max="12301" width="13.85546875" style="1" customWidth="1"/>
    <col min="12302" max="12302" width="14.7109375" style="1" customWidth="1"/>
    <col min="12303" max="12545" width="9.140625" style="1"/>
    <col min="12546" max="12546" width="6.7109375" style="1" customWidth="1"/>
    <col min="12547" max="12547" width="41.5703125" style="1" customWidth="1"/>
    <col min="12548" max="12555" width="14.7109375" style="1" customWidth="1"/>
    <col min="12556" max="12556" width="16.7109375" style="1" customWidth="1"/>
    <col min="12557" max="12557" width="13.85546875" style="1" customWidth="1"/>
    <col min="12558" max="12558" width="14.7109375" style="1" customWidth="1"/>
    <col min="12559" max="12801" width="9.140625" style="1"/>
    <col min="12802" max="12802" width="6.7109375" style="1" customWidth="1"/>
    <col min="12803" max="12803" width="41.5703125" style="1" customWidth="1"/>
    <col min="12804" max="12811" width="14.7109375" style="1" customWidth="1"/>
    <col min="12812" max="12812" width="16.7109375" style="1" customWidth="1"/>
    <col min="12813" max="12813" width="13.85546875" style="1" customWidth="1"/>
    <col min="12814" max="12814" width="14.7109375" style="1" customWidth="1"/>
    <col min="12815" max="13057" width="9.140625" style="1"/>
    <col min="13058" max="13058" width="6.7109375" style="1" customWidth="1"/>
    <col min="13059" max="13059" width="41.5703125" style="1" customWidth="1"/>
    <col min="13060" max="13067" width="14.7109375" style="1" customWidth="1"/>
    <col min="13068" max="13068" width="16.7109375" style="1" customWidth="1"/>
    <col min="13069" max="13069" width="13.85546875" style="1" customWidth="1"/>
    <col min="13070" max="13070" width="14.7109375" style="1" customWidth="1"/>
    <col min="13071" max="13313" width="9.140625" style="1"/>
    <col min="13314" max="13314" width="6.7109375" style="1" customWidth="1"/>
    <col min="13315" max="13315" width="41.5703125" style="1" customWidth="1"/>
    <col min="13316" max="13323" width="14.7109375" style="1" customWidth="1"/>
    <col min="13324" max="13324" width="16.7109375" style="1" customWidth="1"/>
    <col min="13325" max="13325" width="13.85546875" style="1" customWidth="1"/>
    <col min="13326" max="13326" width="14.7109375" style="1" customWidth="1"/>
    <col min="13327" max="13569" width="9.140625" style="1"/>
    <col min="13570" max="13570" width="6.7109375" style="1" customWidth="1"/>
    <col min="13571" max="13571" width="41.5703125" style="1" customWidth="1"/>
    <col min="13572" max="13579" width="14.7109375" style="1" customWidth="1"/>
    <col min="13580" max="13580" width="16.7109375" style="1" customWidth="1"/>
    <col min="13581" max="13581" width="13.85546875" style="1" customWidth="1"/>
    <col min="13582" max="13582" width="14.7109375" style="1" customWidth="1"/>
    <col min="13583" max="13825" width="9.140625" style="1"/>
    <col min="13826" max="13826" width="6.7109375" style="1" customWidth="1"/>
    <col min="13827" max="13827" width="41.5703125" style="1" customWidth="1"/>
    <col min="13828" max="13835" width="14.7109375" style="1" customWidth="1"/>
    <col min="13836" max="13836" width="16.7109375" style="1" customWidth="1"/>
    <col min="13837" max="13837" width="13.85546875" style="1" customWidth="1"/>
    <col min="13838" max="13838" width="14.7109375" style="1" customWidth="1"/>
    <col min="13839" max="14081" width="9.140625" style="1"/>
    <col min="14082" max="14082" width="6.7109375" style="1" customWidth="1"/>
    <col min="14083" max="14083" width="41.5703125" style="1" customWidth="1"/>
    <col min="14084" max="14091" width="14.7109375" style="1" customWidth="1"/>
    <col min="14092" max="14092" width="16.7109375" style="1" customWidth="1"/>
    <col min="14093" max="14093" width="13.85546875" style="1" customWidth="1"/>
    <col min="14094" max="14094" width="14.7109375" style="1" customWidth="1"/>
    <col min="14095" max="14337" width="9.140625" style="1"/>
    <col min="14338" max="14338" width="6.7109375" style="1" customWidth="1"/>
    <col min="14339" max="14339" width="41.5703125" style="1" customWidth="1"/>
    <col min="14340" max="14347" width="14.7109375" style="1" customWidth="1"/>
    <col min="14348" max="14348" width="16.7109375" style="1" customWidth="1"/>
    <col min="14349" max="14349" width="13.85546875" style="1" customWidth="1"/>
    <col min="14350" max="14350" width="14.7109375" style="1" customWidth="1"/>
    <col min="14351" max="14593" width="9.140625" style="1"/>
    <col min="14594" max="14594" width="6.7109375" style="1" customWidth="1"/>
    <col min="14595" max="14595" width="41.5703125" style="1" customWidth="1"/>
    <col min="14596" max="14603" width="14.7109375" style="1" customWidth="1"/>
    <col min="14604" max="14604" width="16.7109375" style="1" customWidth="1"/>
    <col min="14605" max="14605" width="13.85546875" style="1" customWidth="1"/>
    <col min="14606" max="14606" width="14.7109375" style="1" customWidth="1"/>
    <col min="14607" max="14849" width="9.140625" style="1"/>
    <col min="14850" max="14850" width="6.7109375" style="1" customWidth="1"/>
    <col min="14851" max="14851" width="41.5703125" style="1" customWidth="1"/>
    <col min="14852" max="14859" width="14.7109375" style="1" customWidth="1"/>
    <col min="14860" max="14860" width="16.7109375" style="1" customWidth="1"/>
    <col min="14861" max="14861" width="13.85546875" style="1" customWidth="1"/>
    <col min="14862" max="14862" width="14.7109375" style="1" customWidth="1"/>
    <col min="14863" max="15105" width="9.140625" style="1"/>
    <col min="15106" max="15106" width="6.7109375" style="1" customWidth="1"/>
    <col min="15107" max="15107" width="41.5703125" style="1" customWidth="1"/>
    <col min="15108" max="15115" width="14.7109375" style="1" customWidth="1"/>
    <col min="15116" max="15116" width="16.7109375" style="1" customWidth="1"/>
    <col min="15117" max="15117" width="13.85546875" style="1" customWidth="1"/>
    <col min="15118" max="15118" width="14.7109375" style="1" customWidth="1"/>
    <col min="15119" max="15361" width="9.140625" style="1"/>
    <col min="15362" max="15362" width="6.7109375" style="1" customWidth="1"/>
    <col min="15363" max="15363" width="41.5703125" style="1" customWidth="1"/>
    <col min="15364" max="15371" width="14.7109375" style="1" customWidth="1"/>
    <col min="15372" max="15372" width="16.7109375" style="1" customWidth="1"/>
    <col min="15373" max="15373" width="13.85546875" style="1" customWidth="1"/>
    <col min="15374" max="15374" width="14.7109375" style="1" customWidth="1"/>
    <col min="15375" max="15617" width="9.140625" style="1"/>
    <col min="15618" max="15618" width="6.7109375" style="1" customWidth="1"/>
    <col min="15619" max="15619" width="41.5703125" style="1" customWidth="1"/>
    <col min="15620" max="15627" width="14.7109375" style="1" customWidth="1"/>
    <col min="15628" max="15628" width="16.7109375" style="1" customWidth="1"/>
    <col min="15629" max="15629" width="13.85546875" style="1" customWidth="1"/>
    <col min="15630" max="15630" width="14.7109375" style="1" customWidth="1"/>
    <col min="15631" max="15873" width="9.140625" style="1"/>
    <col min="15874" max="15874" width="6.7109375" style="1" customWidth="1"/>
    <col min="15875" max="15875" width="41.5703125" style="1" customWidth="1"/>
    <col min="15876" max="15883" width="14.7109375" style="1" customWidth="1"/>
    <col min="15884" max="15884" width="16.7109375" style="1" customWidth="1"/>
    <col min="15885" max="15885" width="13.85546875" style="1" customWidth="1"/>
    <col min="15886" max="15886" width="14.7109375" style="1" customWidth="1"/>
    <col min="15887" max="16129" width="9.140625" style="1"/>
    <col min="16130" max="16130" width="6.7109375" style="1" customWidth="1"/>
    <col min="16131" max="16131" width="41.5703125" style="1" customWidth="1"/>
    <col min="16132" max="16139" width="14.7109375" style="1" customWidth="1"/>
    <col min="16140" max="16140" width="16.7109375" style="1" customWidth="1"/>
    <col min="16141" max="16141" width="13.85546875" style="1" customWidth="1"/>
    <col min="16142" max="16142" width="14.7109375" style="1" customWidth="1"/>
    <col min="16143" max="16384" width="9.140625" style="1"/>
  </cols>
  <sheetData>
    <row r="1" spans="1:15" ht="15" customHeight="1" x14ac:dyDescent="0.25">
      <c r="N1" s="6"/>
    </row>
    <row r="2" spans="1:15" ht="20.100000000000001" customHeight="1" x14ac:dyDescent="0.35">
      <c r="A2" s="1284" t="s">
        <v>570</v>
      </c>
      <c r="B2" s="1206"/>
      <c r="C2" s="1206"/>
      <c r="D2" s="1206"/>
      <c r="E2" s="1206"/>
      <c r="F2" s="1206"/>
      <c r="G2" s="1206"/>
      <c r="H2" s="1206"/>
      <c r="I2" s="1206"/>
      <c r="J2" s="1206"/>
      <c r="K2" s="1206"/>
      <c r="L2" s="1206"/>
      <c r="M2" s="1206"/>
      <c r="N2" s="1285"/>
    </row>
    <row r="3" spans="1:15" ht="15" customHeight="1" x14ac:dyDescent="0.2"/>
    <row r="4" spans="1:15" ht="20.100000000000001" customHeight="1" x14ac:dyDescent="0.25">
      <c r="A4" s="68" t="s">
        <v>244</v>
      </c>
      <c r="M4" s="8"/>
    </row>
    <row r="5" spans="1:15" ht="15" customHeight="1" thickBot="1" x14ac:dyDescent="0.3">
      <c r="A5" s="68"/>
      <c r="N5" s="8" t="s">
        <v>0</v>
      </c>
    </row>
    <row r="6" spans="1:15"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5"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5" s="9" customFormat="1" ht="20.100000000000001" customHeight="1" thickBot="1" x14ac:dyDescent="0.3">
      <c r="A8" s="69"/>
      <c r="B8" s="10" t="s">
        <v>104</v>
      </c>
      <c r="C8" s="10"/>
      <c r="D8" s="273"/>
      <c r="E8" s="274"/>
      <c r="F8" s="273"/>
      <c r="G8" s="3"/>
      <c r="H8" s="3"/>
      <c r="I8" s="3"/>
      <c r="J8" s="3"/>
      <c r="K8" s="3"/>
      <c r="L8" s="843"/>
      <c r="M8" s="16"/>
      <c r="N8" s="16"/>
    </row>
    <row r="9" spans="1:15" s="63" customFormat="1" ht="20.100000000000001" customHeight="1" x14ac:dyDescent="0.2">
      <c r="A9" s="501">
        <v>3133</v>
      </c>
      <c r="B9" s="1304" t="s">
        <v>118</v>
      </c>
      <c r="C9" s="1305"/>
      <c r="D9" s="453">
        <v>500</v>
      </c>
      <c r="E9" s="588">
        <v>153.41</v>
      </c>
      <c r="F9" s="453">
        <v>500</v>
      </c>
      <c r="G9" s="456">
        <v>500</v>
      </c>
      <c r="H9" s="457">
        <v>64.27</v>
      </c>
      <c r="I9" s="489">
        <v>0</v>
      </c>
      <c r="J9" s="455">
        <v>500</v>
      </c>
      <c r="K9" s="1077">
        <v>0</v>
      </c>
      <c r="L9" s="904">
        <f>SUM(I9:K9)</f>
        <v>500</v>
      </c>
      <c r="M9" s="458">
        <f t="shared" ref="M9:M10" si="0">L9/F9*100</f>
        <v>100</v>
      </c>
      <c r="N9" s="459">
        <f>L9/G9*100</f>
        <v>100</v>
      </c>
      <c r="O9" s="96"/>
    </row>
    <row r="10" spans="1:15" s="63" customFormat="1" ht="30" customHeight="1" x14ac:dyDescent="0.2">
      <c r="A10" s="668">
        <v>3900</v>
      </c>
      <c r="B10" s="1302" t="s">
        <v>146</v>
      </c>
      <c r="C10" s="1303"/>
      <c r="D10" s="471">
        <v>3000</v>
      </c>
      <c r="E10" s="463">
        <v>2255</v>
      </c>
      <c r="F10" s="471">
        <v>3000</v>
      </c>
      <c r="G10" s="474">
        <v>3000</v>
      </c>
      <c r="H10" s="475">
        <v>2234</v>
      </c>
      <c r="I10" s="530">
        <v>0</v>
      </c>
      <c r="J10" s="905">
        <v>3000</v>
      </c>
      <c r="K10" s="1087">
        <v>0</v>
      </c>
      <c r="L10" s="1065">
        <f t="shared" ref="L10:L18" si="1">SUM(I10:K10)</f>
        <v>3000</v>
      </c>
      <c r="M10" s="476">
        <f t="shared" si="0"/>
        <v>100</v>
      </c>
      <c r="N10" s="477">
        <f t="shared" ref="N10:N19" si="2">L10/G10*100</f>
        <v>100</v>
      </c>
      <c r="O10" s="96"/>
    </row>
    <row r="11" spans="1:15" s="63" customFormat="1" ht="30" customHeight="1" x14ac:dyDescent="0.2">
      <c r="A11" s="668">
        <v>4349</v>
      </c>
      <c r="B11" s="1302" t="s">
        <v>171</v>
      </c>
      <c r="C11" s="1303"/>
      <c r="D11" s="462">
        <v>100</v>
      </c>
      <c r="E11" s="463">
        <v>0</v>
      </c>
      <c r="F11" s="462">
        <v>100</v>
      </c>
      <c r="G11" s="474">
        <v>100</v>
      </c>
      <c r="H11" s="475">
        <v>0</v>
      </c>
      <c r="I11" s="530">
        <v>0</v>
      </c>
      <c r="J11" s="905">
        <v>100</v>
      </c>
      <c r="K11" s="1087">
        <v>0</v>
      </c>
      <c r="L11" s="1065">
        <f>SUM(I11:K11)</f>
        <v>100</v>
      </c>
      <c r="M11" s="476">
        <f t="shared" ref="M11" si="3">L11/F11*100</f>
        <v>100</v>
      </c>
      <c r="N11" s="477">
        <f t="shared" ref="N11" si="4">L11/G11*100</f>
        <v>100</v>
      </c>
      <c r="O11" s="96"/>
    </row>
    <row r="12" spans="1:15" ht="20.100000000000001" customHeight="1" x14ac:dyDescent="0.2">
      <c r="A12" s="1310">
        <v>6113</v>
      </c>
      <c r="B12" s="1302" t="s">
        <v>124</v>
      </c>
      <c r="C12" s="1303"/>
      <c r="D12" s="471">
        <v>59000</v>
      </c>
      <c r="E12" s="472">
        <v>44449.71</v>
      </c>
      <c r="F12" s="905">
        <v>54942</v>
      </c>
      <c r="G12" s="474">
        <v>57432.29</v>
      </c>
      <c r="H12" s="475">
        <v>32762.48</v>
      </c>
      <c r="I12" s="530">
        <v>54942</v>
      </c>
      <c r="J12" s="905">
        <v>0</v>
      </c>
      <c r="K12" s="1087">
        <v>0</v>
      </c>
      <c r="L12" s="1065">
        <f t="shared" si="1"/>
        <v>54942</v>
      </c>
      <c r="M12" s="476">
        <f t="shared" ref="M12:M18" si="5">L12/F12*100</f>
        <v>100</v>
      </c>
      <c r="N12" s="477">
        <f t="shared" ref="N12:N17" si="6">L12/G12*100</f>
        <v>95.663954893666954</v>
      </c>
      <c r="O12" s="96"/>
    </row>
    <row r="13" spans="1:15" ht="15" customHeight="1" x14ac:dyDescent="0.2">
      <c r="A13" s="1311"/>
      <c r="B13" s="655" t="s">
        <v>96</v>
      </c>
      <c r="C13" s="669" t="s">
        <v>400</v>
      </c>
      <c r="D13" s="80">
        <v>41308</v>
      </c>
      <c r="E13" s="98">
        <v>36771.08</v>
      </c>
      <c r="F13" s="80">
        <v>41500</v>
      </c>
      <c r="G13" s="81">
        <v>41500</v>
      </c>
      <c r="H13" s="82">
        <v>26983.53</v>
      </c>
      <c r="I13" s="83">
        <v>45500</v>
      </c>
      <c r="J13" s="906">
        <v>0</v>
      </c>
      <c r="K13" s="907">
        <v>0</v>
      </c>
      <c r="L13" s="1071">
        <f t="shared" si="1"/>
        <v>45500</v>
      </c>
      <c r="M13" s="133">
        <f t="shared" si="5"/>
        <v>109.63855421686748</v>
      </c>
      <c r="N13" s="73">
        <f t="shared" si="6"/>
        <v>109.63855421686748</v>
      </c>
      <c r="O13" s="96"/>
    </row>
    <row r="14" spans="1:15" ht="20.100000000000001" customHeight="1" x14ac:dyDescent="0.2">
      <c r="A14" s="507">
        <v>6172</v>
      </c>
      <c r="B14" s="1302" t="s">
        <v>105</v>
      </c>
      <c r="C14" s="1303"/>
      <c r="D14" s="471">
        <v>35469</v>
      </c>
      <c r="E14" s="472">
        <v>10935.27</v>
      </c>
      <c r="F14" s="471">
        <v>16900</v>
      </c>
      <c r="G14" s="496">
        <v>16599.21</v>
      </c>
      <c r="H14" s="504">
        <v>6265.89</v>
      </c>
      <c r="I14" s="530">
        <v>11485</v>
      </c>
      <c r="J14" s="905">
        <v>4746</v>
      </c>
      <c r="K14" s="1087">
        <v>889</v>
      </c>
      <c r="L14" s="1065">
        <f t="shared" si="1"/>
        <v>17120</v>
      </c>
      <c r="M14" s="476">
        <f t="shared" si="5"/>
        <v>101.30177514792899</v>
      </c>
      <c r="N14" s="477">
        <f t="shared" si="6"/>
        <v>103.13743846845725</v>
      </c>
      <c r="O14" s="96"/>
    </row>
    <row r="15" spans="1:15" s="63" customFormat="1" ht="20.100000000000001" customHeight="1" x14ac:dyDescent="0.2">
      <c r="A15" s="668">
        <v>6221</v>
      </c>
      <c r="B15" s="1302" t="s">
        <v>274</v>
      </c>
      <c r="C15" s="1303"/>
      <c r="D15" s="462">
        <v>100</v>
      </c>
      <c r="E15" s="463">
        <v>10024.81</v>
      </c>
      <c r="F15" s="462">
        <v>100</v>
      </c>
      <c r="G15" s="474">
        <v>3100</v>
      </c>
      <c r="H15" s="475">
        <v>3000</v>
      </c>
      <c r="I15" s="530">
        <v>0</v>
      </c>
      <c r="J15" s="905">
        <v>100</v>
      </c>
      <c r="K15" s="1087">
        <v>0</v>
      </c>
      <c r="L15" s="1065">
        <f t="shared" si="1"/>
        <v>100</v>
      </c>
      <c r="M15" s="476">
        <f t="shared" si="5"/>
        <v>100</v>
      </c>
      <c r="N15" s="477">
        <f t="shared" si="6"/>
        <v>3.225806451612903</v>
      </c>
      <c r="O15" s="96"/>
    </row>
    <row r="16" spans="1:15" ht="20.100000000000001" customHeight="1" x14ac:dyDescent="0.2">
      <c r="A16" s="500">
        <v>6223</v>
      </c>
      <c r="B16" s="1302" t="s">
        <v>165</v>
      </c>
      <c r="C16" s="1303"/>
      <c r="D16" s="494">
        <v>6200</v>
      </c>
      <c r="E16" s="518">
        <v>506.68</v>
      </c>
      <c r="F16" s="494">
        <v>800</v>
      </c>
      <c r="G16" s="496">
        <v>800</v>
      </c>
      <c r="H16" s="504">
        <v>370.71</v>
      </c>
      <c r="I16" s="530">
        <v>500</v>
      </c>
      <c r="J16" s="905">
        <v>400</v>
      </c>
      <c r="K16" s="1087">
        <v>200</v>
      </c>
      <c r="L16" s="1065">
        <f t="shared" si="1"/>
        <v>1100</v>
      </c>
      <c r="M16" s="476">
        <f t="shared" si="5"/>
        <v>137.5</v>
      </c>
      <c r="N16" s="477">
        <f t="shared" si="6"/>
        <v>137.5</v>
      </c>
      <c r="O16" s="96"/>
    </row>
    <row r="17" spans="1:15" ht="30" customHeight="1" x14ac:dyDescent="0.2">
      <c r="A17" s="500">
        <v>6330</v>
      </c>
      <c r="B17" s="1302" t="s">
        <v>202</v>
      </c>
      <c r="C17" s="1303"/>
      <c r="D17" s="494">
        <v>0</v>
      </c>
      <c r="E17" s="518">
        <v>0</v>
      </c>
      <c r="F17" s="494">
        <v>0</v>
      </c>
      <c r="G17" s="496">
        <v>1016</v>
      </c>
      <c r="H17" s="504">
        <v>762</v>
      </c>
      <c r="I17" s="530">
        <v>0</v>
      </c>
      <c r="J17" s="905">
        <v>0</v>
      </c>
      <c r="K17" s="1087">
        <v>0</v>
      </c>
      <c r="L17" s="1065">
        <f t="shared" si="1"/>
        <v>0</v>
      </c>
      <c r="M17" s="476" t="s">
        <v>60</v>
      </c>
      <c r="N17" s="477">
        <f t="shared" si="6"/>
        <v>0</v>
      </c>
      <c r="O17" s="96"/>
    </row>
    <row r="18" spans="1:15" ht="20.100000000000001" customHeight="1" thickBot="1" x14ac:dyDescent="0.25">
      <c r="A18" s="500">
        <v>6409</v>
      </c>
      <c r="B18" s="1306" t="s">
        <v>280</v>
      </c>
      <c r="C18" s="1307"/>
      <c r="D18" s="494">
        <v>850</v>
      </c>
      <c r="E18" s="518">
        <v>850</v>
      </c>
      <c r="F18" s="494">
        <v>1016</v>
      </c>
      <c r="G18" s="496">
        <v>0</v>
      </c>
      <c r="H18" s="504">
        <v>0</v>
      </c>
      <c r="I18" s="1081">
        <v>1270</v>
      </c>
      <c r="J18" s="1082">
        <v>0</v>
      </c>
      <c r="K18" s="1083">
        <v>0</v>
      </c>
      <c r="L18" s="1066">
        <f t="shared" si="1"/>
        <v>1270</v>
      </c>
      <c r="M18" s="476">
        <f t="shared" si="5"/>
        <v>125</v>
      </c>
      <c r="N18" s="477" t="s">
        <v>60</v>
      </c>
      <c r="O18" s="96"/>
    </row>
    <row r="19" spans="1:15" s="90" customFormat="1" ht="20.100000000000001" customHeight="1" thickBot="1" x14ac:dyDescent="0.25">
      <c r="A19" s="188"/>
      <c r="B19" s="1308" t="s">
        <v>85</v>
      </c>
      <c r="C19" s="1309"/>
      <c r="D19" s="183">
        <f t="shared" ref="D19:L19" si="7">D9+D10+D12+D14+D15+D16+D17+D18+D11</f>
        <v>105219</v>
      </c>
      <c r="E19" s="184">
        <f t="shared" si="7"/>
        <v>69174.87999999999</v>
      </c>
      <c r="F19" s="645">
        <f t="shared" si="7"/>
        <v>77358</v>
      </c>
      <c r="G19" s="199">
        <f t="shared" si="7"/>
        <v>82547.5</v>
      </c>
      <c r="H19" s="646">
        <f t="shared" si="7"/>
        <v>45459.35</v>
      </c>
      <c r="I19" s="645">
        <f t="shared" si="7"/>
        <v>68197</v>
      </c>
      <c r="J19" s="1091">
        <f t="shared" si="7"/>
        <v>8846</v>
      </c>
      <c r="K19" s="1143">
        <f t="shared" si="7"/>
        <v>1089</v>
      </c>
      <c r="L19" s="1093">
        <f t="shared" si="7"/>
        <v>78132</v>
      </c>
      <c r="M19" s="186">
        <f>L19/F19*100</f>
        <v>101.00054293027223</v>
      </c>
      <c r="N19" s="187">
        <f t="shared" si="2"/>
        <v>94.650958539022994</v>
      </c>
      <c r="O19" s="647"/>
    </row>
    <row r="20" spans="1:15" ht="15" customHeight="1" x14ac:dyDescent="0.25">
      <c r="A20" s="70"/>
      <c r="B20" s="20"/>
      <c r="C20" s="20"/>
      <c r="D20" s="170"/>
      <c r="E20" s="169"/>
      <c r="F20" s="170"/>
      <c r="G20" s="172"/>
      <c r="H20" s="172"/>
      <c r="I20" s="172"/>
      <c r="J20" s="172"/>
      <c r="K20" s="172"/>
      <c r="L20" s="172"/>
      <c r="M20" s="24"/>
      <c r="N20" s="25"/>
      <c r="O20" s="17"/>
    </row>
    <row r="21" spans="1:15" ht="15" customHeight="1" x14ac:dyDescent="0.25">
      <c r="A21" s="1"/>
      <c r="B21" s="20"/>
      <c r="C21" s="20"/>
      <c r="D21" s="169"/>
      <c r="E21" s="169"/>
      <c r="F21" s="169"/>
      <c r="G21" s="169"/>
      <c r="H21" s="169"/>
      <c r="I21" s="169"/>
      <c r="J21" s="169"/>
      <c r="K21" s="169"/>
      <c r="L21" s="169"/>
      <c r="M21" s="169"/>
      <c r="N21" s="169"/>
      <c r="O21" s="17"/>
    </row>
  </sheetData>
  <sortState xmlns:xlrd2="http://schemas.microsoft.com/office/spreadsheetml/2017/richdata2" ref="C33:O52">
    <sortCondition ref="M33:M52"/>
  </sortState>
  <mergeCells count="19">
    <mergeCell ref="B17:C17"/>
    <mergeCell ref="B18:C18"/>
    <mergeCell ref="B19:C19"/>
    <mergeCell ref="A12:A13"/>
    <mergeCell ref="B15:C15"/>
    <mergeCell ref="B16:C16"/>
    <mergeCell ref="B10:C10"/>
    <mergeCell ref="B9:C9"/>
    <mergeCell ref="B11:C11"/>
    <mergeCell ref="B12:C12"/>
    <mergeCell ref="B14:C14"/>
    <mergeCell ref="A2:N2"/>
    <mergeCell ref="A6:A7"/>
    <mergeCell ref="D6:E6"/>
    <mergeCell ref="F6:H6"/>
    <mergeCell ref="I6:L6"/>
    <mergeCell ref="M6:M7"/>
    <mergeCell ref="N6:N7"/>
    <mergeCell ref="B6:C7"/>
  </mergeCells>
  <printOptions horizontalCentered="1"/>
  <pageMargins left="0.59055118110236227" right="0.59055118110236227" top="0.78740157480314965" bottom="0.78740157480314965" header="0.59055118110236227" footer="0.59055118110236227"/>
  <pageSetup paperSize="9" scale="64"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7"/>
  <sheetViews>
    <sheetView workbookViewId="0"/>
  </sheetViews>
  <sheetFormatPr defaultColWidth="9.140625" defaultRowHeight="12.75" x14ac:dyDescent="0.2"/>
  <cols>
    <col min="1" max="1" width="7.7109375" style="67" customWidth="1"/>
    <col min="2" max="2" width="6.7109375" style="1" customWidth="1"/>
    <col min="3" max="3" width="41.7109375" style="1" customWidth="1"/>
    <col min="4" max="4" width="14.7109375" style="2" customWidth="1"/>
    <col min="5" max="5" width="14.7109375" style="3" customWidth="1"/>
    <col min="6" max="6" width="14.7109375" style="2" customWidth="1"/>
    <col min="7" max="9" width="14.7109375" style="3" customWidth="1"/>
    <col min="10" max="10" width="15.5703125" style="3" customWidth="1"/>
    <col min="11" max="11" width="14.7109375" style="3" customWidth="1"/>
    <col min="12" max="12" width="14.7109375" style="843" customWidth="1"/>
    <col min="13" max="14" width="9.7109375" style="5" customWidth="1"/>
    <col min="15" max="15" width="11.5703125" style="1" bestFit="1" customWidth="1"/>
    <col min="16" max="17" width="9.42578125" style="1" bestFit="1" customWidth="1"/>
    <col min="18" max="16384" width="9.140625" style="1"/>
  </cols>
  <sheetData>
    <row r="1" spans="1:17" ht="15" customHeight="1" x14ac:dyDescent="0.25">
      <c r="N1" s="6"/>
    </row>
    <row r="2" spans="1:17" ht="20.100000000000001" customHeight="1" x14ac:dyDescent="0.35">
      <c r="A2" s="1284" t="s">
        <v>570</v>
      </c>
      <c r="B2" s="1206"/>
      <c r="C2" s="1206"/>
      <c r="D2" s="1206"/>
      <c r="E2" s="1206"/>
      <c r="F2" s="1206"/>
      <c r="G2" s="1206"/>
      <c r="H2" s="1206"/>
      <c r="I2" s="1206"/>
      <c r="J2" s="1206"/>
      <c r="K2" s="1206"/>
      <c r="L2" s="1206"/>
      <c r="M2" s="1206"/>
      <c r="N2" s="1285"/>
    </row>
    <row r="3" spans="1:17" ht="15" customHeight="1" x14ac:dyDescent="0.2"/>
    <row r="4" spans="1:17" ht="20.100000000000001" customHeight="1" x14ac:dyDescent="0.25">
      <c r="A4" s="68" t="s">
        <v>245</v>
      </c>
      <c r="M4" s="8"/>
    </row>
    <row r="5" spans="1:17" ht="15" customHeight="1" thickBot="1" x14ac:dyDescent="0.3">
      <c r="A5" s="68"/>
      <c r="N5" s="8" t="s">
        <v>0</v>
      </c>
    </row>
    <row r="6" spans="1:17"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7"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7" s="9" customFormat="1" ht="20.100000000000001" customHeight="1" thickBot="1" x14ac:dyDescent="0.3">
      <c r="A8" s="69"/>
      <c r="B8" s="10" t="s">
        <v>104</v>
      </c>
      <c r="C8" s="10"/>
      <c r="D8" s="11"/>
      <c r="E8" s="12"/>
      <c r="F8" s="11"/>
      <c r="G8" s="13"/>
      <c r="H8" s="13"/>
      <c r="I8" s="13"/>
      <c r="J8" s="13"/>
      <c r="K8" s="13"/>
      <c r="L8" s="271"/>
      <c r="M8" s="16"/>
      <c r="N8" s="16"/>
    </row>
    <row r="9" spans="1:17" s="67" customFormat="1" ht="20.100000000000001" customHeight="1" x14ac:dyDescent="0.2">
      <c r="A9" s="1322">
        <v>6172</v>
      </c>
      <c r="B9" s="1316" t="s">
        <v>105</v>
      </c>
      <c r="C9" s="1317"/>
      <c r="D9" s="489">
        <f t="shared" ref="D9:K9" si="0">SUM(D10:D19)</f>
        <v>56242</v>
      </c>
      <c r="E9" s="488">
        <f t="shared" si="0"/>
        <v>65268.59</v>
      </c>
      <c r="F9" s="489">
        <f t="shared" si="0"/>
        <v>85944</v>
      </c>
      <c r="G9" s="488">
        <f t="shared" si="0"/>
        <v>89351.41</v>
      </c>
      <c r="H9" s="488">
        <f t="shared" si="0"/>
        <v>40002.990000000005</v>
      </c>
      <c r="I9" s="489">
        <f t="shared" si="0"/>
        <v>72578</v>
      </c>
      <c r="J9" s="455">
        <f t="shared" si="0"/>
        <v>10266</v>
      </c>
      <c r="K9" s="1165">
        <f t="shared" si="0"/>
        <v>3005</v>
      </c>
      <c r="L9" s="1166">
        <f>SUM(I9:K9)</f>
        <v>85849</v>
      </c>
      <c r="M9" s="493">
        <f>L9/F9*100</f>
        <v>99.889462906078379</v>
      </c>
      <c r="N9" s="459">
        <f>L9/G9*100</f>
        <v>96.08018496854163</v>
      </c>
      <c r="O9" s="345"/>
    </row>
    <row r="10" spans="1:17" s="67" customFormat="1" ht="15" customHeight="1" x14ac:dyDescent="0.2">
      <c r="A10" s="1311"/>
      <c r="B10" s="1312" t="s">
        <v>96</v>
      </c>
      <c r="C10" s="678" t="s">
        <v>510</v>
      </c>
      <c r="D10" s="83">
        <v>43</v>
      </c>
      <c r="E10" s="365">
        <v>35.11</v>
      </c>
      <c r="F10" s="83">
        <v>43</v>
      </c>
      <c r="G10" s="431">
        <v>53</v>
      </c>
      <c r="H10" s="82">
        <v>49.92</v>
      </c>
      <c r="I10" s="83">
        <v>43</v>
      </c>
      <c r="J10" s="906">
        <v>0</v>
      </c>
      <c r="K10" s="1124">
        <v>0</v>
      </c>
      <c r="L10" s="1071">
        <f>SUM(I10:K10)</f>
        <v>43</v>
      </c>
      <c r="M10" s="92">
        <f t="shared" ref="M10" si="1">L10/F10*100</f>
        <v>100</v>
      </c>
      <c r="N10" s="79">
        <f t="shared" ref="N10:N11" si="2">L10/G10*100</f>
        <v>81.132075471698116</v>
      </c>
      <c r="O10" s="345"/>
    </row>
    <row r="11" spans="1:17" s="67" customFormat="1" ht="25.5" customHeight="1" x14ac:dyDescent="0.2">
      <c r="A11" s="1311"/>
      <c r="B11" s="1313"/>
      <c r="C11" s="366" t="s">
        <v>518</v>
      </c>
      <c r="D11" s="1002">
        <v>0</v>
      </c>
      <c r="E11" s="1003">
        <v>0</v>
      </c>
      <c r="F11" s="1011">
        <v>0</v>
      </c>
      <c r="G11" s="431">
        <v>20</v>
      </c>
      <c r="H11" s="82">
        <v>17.54</v>
      </c>
      <c r="I11" s="83">
        <v>0</v>
      </c>
      <c r="J11" s="906">
        <v>0</v>
      </c>
      <c r="K11" s="1124">
        <v>0</v>
      </c>
      <c r="L11" s="1071">
        <f t="shared" ref="L11" si="3">SUM(I11:K11)</f>
        <v>0</v>
      </c>
      <c r="M11" s="92" t="s">
        <v>60</v>
      </c>
      <c r="N11" s="79">
        <f t="shared" si="2"/>
        <v>0</v>
      </c>
      <c r="O11" s="345"/>
    </row>
    <row r="12" spans="1:17" s="67" customFormat="1" ht="15" customHeight="1" x14ac:dyDescent="0.2">
      <c r="A12" s="1311"/>
      <c r="B12" s="1313"/>
      <c r="C12" s="678" t="s">
        <v>511</v>
      </c>
      <c r="D12" s="83">
        <v>8330</v>
      </c>
      <c r="E12" s="365">
        <v>6834.07</v>
      </c>
      <c r="F12" s="83">
        <v>9830</v>
      </c>
      <c r="G12" s="431">
        <v>9935</v>
      </c>
      <c r="H12" s="82">
        <v>3529.46</v>
      </c>
      <c r="I12" s="83">
        <v>10395</v>
      </c>
      <c r="J12" s="906">
        <v>1949</v>
      </c>
      <c r="K12" s="1124">
        <v>650</v>
      </c>
      <c r="L12" s="1071">
        <f t="shared" ref="L12:L19" si="4">SUM(I12:K12)</f>
        <v>12994</v>
      </c>
      <c r="M12" s="92">
        <f t="shared" ref="M12:M18" si="5">L12/F12*100</f>
        <v>132.18718209562564</v>
      </c>
      <c r="N12" s="79">
        <f t="shared" ref="N12:N18" si="6">L12/G12*100</f>
        <v>130.79013588324108</v>
      </c>
      <c r="O12" s="345"/>
    </row>
    <row r="13" spans="1:17" s="67" customFormat="1" ht="15" customHeight="1" x14ac:dyDescent="0.2">
      <c r="A13" s="1311"/>
      <c r="B13" s="1313"/>
      <c r="C13" s="678" t="s">
        <v>264</v>
      </c>
      <c r="D13" s="83">
        <v>35</v>
      </c>
      <c r="E13" s="365">
        <v>8.5399999999999991</v>
      </c>
      <c r="F13" s="83">
        <v>35</v>
      </c>
      <c r="G13" s="431">
        <v>35</v>
      </c>
      <c r="H13" s="82">
        <v>-0.74</v>
      </c>
      <c r="I13" s="83">
        <v>35</v>
      </c>
      <c r="J13" s="906">
        <v>0</v>
      </c>
      <c r="K13" s="1124">
        <v>0</v>
      </c>
      <c r="L13" s="1071">
        <f t="shared" si="4"/>
        <v>35</v>
      </c>
      <c r="M13" s="92">
        <f t="shared" si="5"/>
        <v>100</v>
      </c>
      <c r="N13" s="79">
        <f t="shared" si="6"/>
        <v>100</v>
      </c>
      <c r="O13" s="345"/>
    </row>
    <row r="14" spans="1:17" s="67" customFormat="1" ht="15" customHeight="1" x14ac:dyDescent="0.2">
      <c r="A14" s="1311"/>
      <c r="B14" s="1313"/>
      <c r="C14" s="678" t="s">
        <v>512</v>
      </c>
      <c r="D14" s="83">
        <v>10610</v>
      </c>
      <c r="E14" s="365">
        <v>21974.35</v>
      </c>
      <c r="F14" s="83">
        <v>24712</v>
      </c>
      <c r="G14" s="431">
        <v>24712</v>
      </c>
      <c r="H14" s="82">
        <v>8892.2000000000007</v>
      </c>
      <c r="I14" s="83">
        <v>20712</v>
      </c>
      <c r="J14" s="906">
        <v>637</v>
      </c>
      <c r="K14" s="1124">
        <v>105</v>
      </c>
      <c r="L14" s="1071">
        <f t="shared" si="4"/>
        <v>21454</v>
      </c>
      <c r="M14" s="92">
        <f t="shared" si="5"/>
        <v>86.816121722240197</v>
      </c>
      <c r="N14" s="79">
        <f t="shared" si="6"/>
        <v>86.816121722240197</v>
      </c>
      <c r="O14" s="851"/>
      <c r="P14" s="851"/>
      <c r="Q14" s="851"/>
    </row>
    <row r="15" spans="1:17" s="67" customFormat="1" ht="15" customHeight="1" x14ac:dyDescent="0.2">
      <c r="A15" s="1311"/>
      <c r="B15" s="1313"/>
      <c r="C15" s="678" t="s">
        <v>513</v>
      </c>
      <c r="D15" s="83">
        <v>28032</v>
      </c>
      <c r="E15" s="365">
        <v>25281.47</v>
      </c>
      <c r="F15" s="83">
        <v>29332</v>
      </c>
      <c r="G15" s="431">
        <v>34831.22</v>
      </c>
      <c r="H15" s="82">
        <v>18902.63</v>
      </c>
      <c r="I15" s="83">
        <v>22129</v>
      </c>
      <c r="J15" s="906">
        <v>4330</v>
      </c>
      <c r="K15" s="1124">
        <v>1443</v>
      </c>
      <c r="L15" s="1071">
        <f t="shared" si="4"/>
        <v>27902</v>
      </c>
      <c r="M15" s="92">
        <f t="shared" si="5"/>
        <v>95.12477839901814</v>
      </c>
      <c r="N15" s="79">
        <f t="shared" si="6"/>
        <v>80.106295444144649</v>
      </c>
      <c r="O15" s="345"/>
      <c r="P15" s="345"/>
      <c r="Q15" s="345"/>
    </row>
    <row r="16" spans="1:17" s="67" customFormat="1" ht="15" customHeight="1" x14ac:dyDescent="0.2">
      <c r="A16" s="1311"/>
      <c r="B16" s="1313"/>
      <c r="C16" s="678" t="s">
        <v>514</v>
      </c>
      <c r="D16" s="83">
        <v>8097</v>
      </c>
      <c r="E16" s="365">
        <v>9872.81</v>
      </c>
      <c r="F16" s="83">
        <v>20897</v>
      </c>
      <c r="G16" s="431">
        <v>18554.189999999999</v>
      </c>
      <c r="H16" s="82">
        <v>7646.87</v>
      </c>
      <c r="I16" s="83">
        <v>18229</v>
      </c>
      <c r="J16" s="906">
        <v>3300</v>
      </c>
      <c r="K16" s="1124">
        <v>797</v>
      </c>
      <c r="L16" s="1071">
        <f t="shared" si="4"/>
        <v>22326</v>
      </c>
      <c r="M16" s="92">
        <f t="shared" si="5"/>
        <v>106.83830214863377</v>
      </c>
      <c r="N16" s="79">
        <f t="shared" si="6"/>
        <v>120.3286158005281</v>
      </c>
      <c r="O16" s="345"/>
    </row>
    <row r="17" spans="1:15" s="67" customFormat="1" ht="27" customHeight="1" x14ac:dyDescent="0.2">
      <c r="A17" s="1311"/>
      <c r="B17" s="1313"/>
      <c r="C17" s="669" t="s">
        <v>334</v>
      </c>
      <c r="D17" s="83">
        <v>210</v>
      </c>
      <c r="E17" s="365">
        <v>414</v>
      </c>
      <c r="F17" s="83">
        <v>210</v>
      </c>
      <c r="G17" s="431">
        <v>210</v>
      </c>
      <c r="H17" s="82">
        <v>312.45999999999998</v>
      </c>
      <c r="I17" s="83">
        <v>150</v>
      </c>
      <c r="J17" s="906">
        <v>50</v>
      </c>
      <c r="K17" s="1124">
        <v>10</v>
      </c>
      <c r="L17" s="1071">
        <f t="shared" si="4"/>
        <v>210</v>
      </c>
      <c r="M17" s="92">
        <f t="shared" si="5"/>
        <v>100</v>
      </c>
      <c r="N17" s="79">
        <f t="shared" si="6"/>
        <v>100</v>
      </c>
      <c r="O17" s="345"/>
    </row>
    <row r="18" spans="1:15" s="67" customFormat="1" ht="27" customHeight="1" x14ac:dyDescent="0.2">
      <c r="A18" s="1311"/>
      <c r="B18" s="1313"/>
      <c r="C18" s="669" t="s">
        <v>265</v>
      </c>
      <c r="D18" s="83">
        <v>885</v>
      </c>
      <c r="E18" s="365">
        <v>814.38</v>
      </c>
      <c r="F18" s="83">
        <v>885</v>
      </c>
      <c r="G18" s="431">
        <v>1001</v>
      </c>
      <c r="H18" s="82">
        <v>652.65</v>
      </c>
      <c r="I18" s="83">
        <v>885</v>
      </c>
      <c r="J18" s="906">
        <v>0</v>
      </c>
      <c r="K18" s="1124">
        <v>0</v>
      </c>
      <c r="L18" s="1071">
        <f t="shared" si="4"/>
        <v>885</v>
      </c>
      <c r="M18" s="92">
        <f t="shared" si="5"/>
        <v>100</v>
      </c>
      <c r="N18" s="79">
        <f t="shared" si="6"/>
        <v>88.411588411588411</v>
      </c>
      <c r="O18" s="345"/>
    </row>
    <row r="19" spans="1:15" s="67" customFormat="1" ht="15" customHeight="1" x14ac:dyDescent="0.2">
      <c r="A19" s="1311"/>
      <c r="B19" s="1314"/>
      <c r="C19" s="678" t="s">
        <v>248</v>
      </c>
      <c r="D19" s="83">
        <v>0</v>
      </c>
      <c r="E19" s="365">
        <v>33.86</v>
      </c>
      <c r="F19" s="83">
        <v>0</v>
      </c>
      <c r="G19" s="431">
        <v>0</v>
      </c>
      <c r="H19" s="82">
        <v>0</v>
      </c>
      <c r="I19" s="83">
        <v>0</v>
      </c>
      <c r="J19" s="906">
        <v>0</v>
      </c>
      <c r="K19" s="1124">
        <v>0</v>
      </c>
      <c r="L19" s="1071">
        <f t="shared" si="4"/>
        <v>0</v>
      </c>
      <c r="M19" s="92" t="s">
        <v>60</v>
      </c>
      <c r="N19" s="79" t="s">
        <v>60</v>
      </c>
      <c r="O19" s="345"/>
    </row>
    <row r="20" spans="1:15" s="67" customFormat="1" ht="15" customHeight="1" x14ac:dyDescent="0.2">
      <c r="A20" s="1311"/>
      <c r="B20" s="1323" t="s">
        <v>96</v>
      </c>
      <c r="C20" s="669" t="s">
        <v>150</v>
      </c>
      <c r="D20" s="80">
        <v>6050</v>
      </c>
      <c r="E20" s="93">
        <v>7404.61</v>
      </c>
      <c r="F20" s="83">
        <v>20897</v>
      </c>
      <c r="G20" s="431">
        <v>14231.19</v>
      </c>
      <c r="H20" s="82">
        <v>5177.67</v>
      </c>
      <c r="I20" s="83">
        <v>16539</v>
      </c>
      <c r="J20" s="906">
        <v>600</v>
      </c>
      <c r="K20" s="1124">
        <v>350</v>
      </c>
      <c r="L20" s="1071">
        <f t="shared" ref="L20:L26" si="7">SUM(I20:K20)</f>
        <v>17489</v>
      </c>
      <c r="M20" s="92">
        <f t="shared" ref="M20" si="8">L20/F20*100</f>
        <v>83.691438962530512</v>
      </c>
      <c r="N20" s="79">
        <f t="shared" ref="N20" si="9">L20/G20*100</f>
        <v>122.89204205691864</v>
      </c>
    </row>
    <row r="21" spans="1:15" s="67" customFormat="1" ht="15" customHeight="1" x14ac:dyDescent="0.2">
      <c r="A21" s="1315"/>
      <c r="B21" s="1324"/>
      <c r="C21" s="856" t="s">
        <v>455</v>
      </c>
      <c r="D21" s="83" t="s">
        <v>60</v>
      </c>
      <c r="E21" s="82" t="s">
        <v>60</v>
      </c>
      <c r="F21" s="83">
        <v>17260</v>
      </c>
      <c r="G21" s="431">
        <v>17260</v>
      </c>
      <c r="H21" s="95">
        <v>6384.13</v>
      </c>
      <c r="I21" s="1113">
        <v>14002</v>
      </c>
      <c r="J21" s="1098">
        <v>0</v>
      </c>
      <c r="K21" s="907">
        <v>0</v>
      </c>
      <c r="L21" s="1071">
        <f t="shared" ref="L21" si="10">SUM(I21:K21)</f>
        <v>14002</v>
      </c>
      <c r="M21" s="92">
        <f t="shared" ref="M21" si="11">L21/F21*100</f>
        <v>81.123986095017386</v>
      </c>
      <c r="N21" s="79">
        <f t="shared" ref="N21" si="12">L21/G21*100</f>
        <v>81.123986095017386</v>
      </c>
    </row>
    <row r="22" spans="1:15" s="67" customFormat="1" ht="15" customHeight="1" x14ac:dyDescent="0.2">
      <c r="A22" s="1310">
        <v>6121</v>
      </c>
      <c r="B22" s="1320" t="s">
        <v>274</v>
      </c>
      <c r="C22" s="1321"/>
      <c r="D22" s="471">
        <f t="shared" ref="D22:K22" si="13">SUM(D23:D25)</f>
        <v>0</v>
      </c>
      <c r="E22" s="490">
        <f t="shared" si="13"/>
        <v>1829.6299999999999</v>
      </c>
      <c r="F22" s="530">
        <f t="shared" si="13"/>
        <v>0</v>
      </c>
      <c r="G22" s="536">
        <f t="shared" si="13"/>
        <v>0</v>
      </c>
      <c r="H22" s="474">
        <f t="shared" si="13"/>
        <v>0</v>
      </c>
      <c r="I22" s="530">
        <f t="shared" si="13"/>
        <v>0</v>
      </c>
      <c r="J22" s="905">
        <f t="shared" si="13"/>
        <v>0</v>
      </c>
      <c r="K22" s="1068">
        <f t="shared" si="13"/>
        <v>0</v>
      </c>
      <c r="L22" s="1065">
        <f t="shared" ref="L22" si="14">SUM(I22:K22)</f>
        <v>0</v>
      </c>
      <c r="M22" s="491" t="s">
        <v>60</v>
      </c>
      <c r="N22" s="492" t="s">
        <v>60</v>
      </c>
    </row>
    <row r="23" spans="1:15" s="67" customFormat="1" ht="15" customHeight="1" x14ac:dyDescent="0.2">
      <c r="A23" s="1311"/>
      <c r="B23" s="1312" t="s">
        <v>96</v>
      </c>
      <c r="C23" s="678" t="s">
        <v>511</v>
      </c>
      <c r="D23" s="80">
        <v>0</v>
      </c>
      <c r="E23" s="93">
        <v>1594.53</v>
      </c>
      <c r="F23" s="83">
        <v>0</v>
      </c>
      <c r="G23" s="431">
        <v>0</v>
      </c>
      <c r="H23" s="944">
        <v>0</v>
      </c>
      <c r="I23" s="83">
        <v>0</v>
      </c>
      <c r="J23" s="1124">
        <v>0</v>
      </c>
      <c r="K23" s="1070">
        <v>0</v>
      </c>
      <c r="L23" s="1071">
        <f>SUM(I23:K23)</f>
        <v>0</v>
      </c>
      <c r="M23" s="92" t="s">
        <v>60</v>
      </c>
      <c r="N23" s="79" t="s">
        <v>60</v>
      </c>
    </row>
    <row r="24" spans="1:15" s="67" customFormat="1" ht="15" customHeight="1" x14ac:dyDescent="0.2">
      <c r="A24" s="1311"/>
      <c r="B24" s="1313"/>
      <c r="C24" s="678" t="s">
        <v>512</v>
      </c>
      <c r="D24" s="80">
        <v>0</v>
      </c>
      <c r="E24" s="93">
        <v>57.5</v>
      </c>
      <c r="F24" s="83">
        <v>0</v>
      </c>
      <c r="G24" s="431">
        <v>0</v>
      </c>
      <c r="H24" s="944">
        <v>0</v>
      </c>
      <c r="I24" s="1139">
        <v>0</v>
      </c>
      <c r="J24" s="1167">
        <v>0</v>
      </c>
      <c r="K24" s="1168">
        <v>0</v>
      </c>
      <c r="L24" s="1071">
        <f>SUM(I24:K24)</f>
        <v>0</v>
      </c>
      <c r="M24" s="92" t="s">
        <v>60</v>
      </c>
      <c r="N24" s="79" t="s">
        <v>60</v>
      </c>
    </row>
    <row r="25" spans="1:15" s="67" customFormat="1" ht="15" customHeight="1" x14ac:dyDescent="0.2">
      <c r="A25" s="1315"/>
      <c r="B25" s="1314"/>
      <c r="C25" s="678" t="s">
        <v>513</v>
      </c>
      <c r="D25" s="80">
        <v>0</v>
      </c>
      <c r="E25" s="93">
        <v>177.6</v>
      </c>
      <c r="F25" s="83">
        <v>0</v>
      </c>
      <c r="G25" s="431">
        <v>0</v>
      </c>
      <c r="H25" s="944">
        <v>0</v>
      </c>
      <c r="I25" s="83">
        <v>0</v>
      </c>
      <c r="J25" s="1124">
        <v>0</v>
      </c>
      <c r="K25" s="1070">
        <v>0</v>
      </c>
      <c r="L25" s="1071">
        <f>SUM(I25:K25)</f>
        <v>0</v>
      </c>
      <c r="M25" s="92" t="s">
        <v>60</v>
      </c>
      <c r="N25" s="79" t="s">
        <v>60</v>
      </c>
    </row>
    <row r="26" spans="1:15" s="67" customFormat="1" ht="20.100000000000001" customHeight="1" x14ac:dyDescent="0.2">
      <c r="A26" s="1311">
        <v>6223</v>
      </c>
      <c r="B26" s="1318" t="s">
        <v>165</v>
      </c>
      <c r="C26" s="1319"/>
      <c r="D26" s="462">
        <f t="shared" ref="D26" si="15">SUM(D27:D30)</f>
        <v>790</v>
      </c>
      <c r="E26" s="583">
        <f t="shared" ref="E26:I26" si="16">SUM(E27:E30)</f>
        <v>98.83</v>
      </c>
      <c r="F26" s="1046">
        <f>SUM(F27:F30)</f>
        <v>760</v>
      </c>
      <c r="G26" s="590">
        <f t="shared" si="16"/>
        <v>760</v>
      </c>
      <c r="H26" s="466">
        <f t="shared" si="16"/>
        <v>166.07</v>
      </c>
      <c r="I26" s="1046">
        <f t="shared" si="16"/>
        <v>760</v>
      </c>
      <c r="J26" s="531">
        <f>SUM(J27:J30)</f>
        <v>0</v>
      </c>
      <c r="K26" s="1064">
        <f>SUM(K27:K30)</f>
        <v>0</v>
      </c>
      <c r="L26" s="1076">
        <f t="shared" si="7"/>
        <v>760</v>
      </c>
      <c r="M26" s="491">
        <f t="shared" ref="M26:M30" si="17">L26/F26*100</f>
        <v>100</v>
      </c>
      <c r="N26" s="492">
        <f t="shared" ref="N26:N30" si="18">L26/G26*100</f>
        <v>100</v>
      </c>
    </row>
    <row r="27" spans="1:15" s="67" customFormat="1" x14ac:dyDescent="0.2">
      <c r="A27" s="1311"/>
      <c r="B27" s="1312" t="s">
        <v>96</v>
      </c>
      <c r="C27" s="678" t="s">
        <v>512</v>
      </c>
      <c r="D27" s="83">
        <v>0</v>
      </c>
      <c r="E27" s="93">
        <v>1.51</v>
      </c>
      <c r="F27" s="83">
        <v>0</v>
      </c>
      <c r="G27" s="431">
        <v>0</v>
      </c>
      <c r="H27" s="944">
        <v>0</v>
      </c>
      <c r="I27" s="83">
        <v>0</v>
      </c>
      <c r="J27" s="1124">
        <v>0</v>
      </c>
      <c r="K27" s="1070">
        <v>0</v>
      </c>
      <c r="L27" s="1071">
        <f>SUM(I27:K27)</f>
        <v>0</v>
      </c>
      <c r="M27" s="92" t="s">
        <v>60</v>
      </c>
      <c r="N27" s="79" t="s">
        <v>60</v>
      </c>
    </row>
    <row r="28" spans="1:15" s="67" customFormat="1" x14ac:dyDescent="0.2">
      <c r="A28" s="1311"/>
      <c r="B28" s="1313"/>
      <c r="C28" s="678" t="s">
        <v>513</v>
      </c>
      <c r="D28" s="83">
        <v>10</v>
      </c>
      <c r="E28" s="93">
        <v>0</v>
      </c>
      <c r="F28" s="83">
        <v>10</v>
      </c>
      <c r="G28" s="431">
        <v>90</v>
      </c>
      <c r="H28" s="944">
        <v>4.25</v>
      </c>
      <c r="I28" s="1139">
        <v>10</v>
      </c>
      <c r="J28" s="1167">
        <v>0</v>
      </c>
      <c r="K28" s="1168">
        <v>0</v>
      </c>
      <c r="L28" s="1071">
        <f>SUM(I28:K28)</f>
        <v>10</v>
      </c>
      <c r="M28" s="92">
        <f t="shared" si="17"/>
        <v>100</v>
      </c>
      <c r="N28" s="79">
        <f t="shared" si="18"/>
        <v>11.111111111111111</v>
      </c>
    </row>
    <row r="29" spans="1:15" s="67" customFormat="1" x14ac:dyDescent="0.2">
      <c r="A29" s="1311"/>
      <c r="B29" s="1313"/>
      <c r="C29" s="678" t="s">
        <v>514</v>
      </c>
      <c r="D29" s="83">
        <v>770</v>
      </c>
      <c r="E29" s="93">
        <v>97.32</v>
      </c>
      <c r="F29" s="83">
        <v>740</v>
      </c>
      <c r="G29" s="431">
        <v>660</v>
      </c>
      <c r="H29" s="944">
        <v>161.82</v>
      </c>
      <c r="I29" s="1004">
        <v>740</v>
      </c>
      <c r="J29" s="1126">
        <v>0</v>
      </c>
      <c r="K29" s="1072">
        <v>0</v>
      </c>
      <c r="L29" s="1071">
        <f>SUM(I29:K29)</f>
        <v>740</v>
      </c>
      <c r="M29" s="92">
        <f t="shared" si="17"/>
        <v>100</v>
      </c>
      <c r="N29" s="79">
        <f t="shared" si="18"/>
        <v>112.12121212121211</v>
      </c>
    </row>
    <row r="30" spans="1:15" s="67" customFormat="1" ht="27" customHeight="1" thickBot="1" x14ac:dyDescent="0.25">
      <c r="A30" s="1315"/>
      <c r="B30" s="1314"/>
      <c r="C30" s="669" t="s">
        <v>334</v>
      </c>
      <c r="D30" s="83">
        <v>10</v>
      </c>
      <c r="E30" s="93">
        <v>0</v>
      </c>
      <c r="F30" s="83">
        <v>10</v>
      </c>
      <c r="G30" s="431">
        <v>10</v>
      </c>
      <c r="H30" s="944">
        <v>0</v>
      </c>
      <c r="I30" s="1004">
        <v>10</v>
      </c>
      <c r="J30" s="1126">
        <v>0</v>
      </c>
      <c r="K30" s="1169">
        <v>0</v>
      </c>
      <c r="L30" s="1071">
        <f>SUM(I30:K30)</f>
        <v>10</v>
      </c>
      <c r="M30" s="92">
        <f t="shared" si="17"/>
        <v>100</v>
      </c>
      <c r="N30" s="79">
        <f t="shared" si="18"/>
        <v>100</v>
      </c>
    </row>
    <row r="31" spans="1:15" s="67" customFormat="1" ht="20.100000000000001" customHeight="1" thickBot="1" x14ac:dyDescent="0.25">
      <c r="A31" s="188"/>
      <c r="B31" s="1308" t="s">
        <v>85</v>
      </c>
      <c r="C31" s="1309"/>
      <c r="D31" s="183">
        <f t="shared" ref="D31:L31" si="19">+D9+D22+D26</f>
        <v>57032</v>
      </c>
      <c r="E31" s="184">
        <f t="shared" si="19"/>
        <v>67197.05</v>
      </c>
      <c r="F31" s="645">
        <f t="shared" si="19"/>
        <v>86704</v>
      </c>
      <c r="G31" s="199">
        <f t="shared" si="19"/>
        <v>90111.41</v>
      </c>
      <c r="H31" s="646">
        <f t="shared" si="19"/>
        <v>40169.060000000005</v>
      </c>
      <c r="I31" s="645">
        <f t="shared" si="19"/>
        <v>73338</v>
      </c>
      <c r="J31" s="1091">
        <f t="shared" si="19"/>
        <v>10266</v>
      </c>
      <c r="K31" s="1143">
        <f t="shared" si="19"/>
        <v>3005</v>
      </c>
      <c r="L31" s="1093">
        <f t="shared" si="19"/>
        <v>86609</v>
      </c>
      <c r="M31" s="186">
        <f>L31/F31*100</f>
        <v>99.890431813987817</v>
      </c>
      <c r="N31" s="187">
        <f>L31/G31*100</f>
        <v>96.113244704527418</v>
      </c>
    </row>
    <row r="32" spans="1:15" ht="15" x14ac:dyDescent="0.25">
      <c r="A32" s="70"/>
      <c r="B32" s="20"/>
      <c r="C32" s="20"/>
      <c r="D32" s="170"/>
      <c r="E32" s="169"/>
      <c r="F32" s="170"/>
      <c r="G32" s="172"/>
      <c r="H32" s="172"/>
      <c r="I32" s="172"/>
      <c r="J32" s="172"/>
      <c r="K32" s="172"/>
      <c r="L32" s="172"/>
      <c r="M32" s="24"/>
      <c r="N32" s="25"/>
    </row>
    <row r="33" spans="1:14" ht="15" x14ac:dyDescent="0.25">
      <c r="A33" s="70"/>
      <c r="B33" s="20"/>
      <c r="C33" s="20"/>
      <c r="D33" s="169"/>
      <c r="E33" s="169"/>
      <c r="F33" s="169"/>
      <c r="G33" s="169"/>
      <c r="H33" s="169"/>
      <c r="I33" s="169"/>
      <c r="J33" s="169"/>
      <c r="K33" s="169"/>
      <c r="L33" s="169"/>
      <c r="M33" s="24"/>
      <c r="N33" s="25"/>
    </row>
    <row r="34" spans="1:14" x14ac:dyDescent="0.2">
      <c r="A34" s="71"/>
    </row>
    <row r="36" spans="1:14" x14ac:dyDescent="0.2">
      <c r="A36" s="71"/>
    </row>
    <row r="37" spans="1:14" x14ac:dyDescent="0.2">
      <c r="A37" s="71"/>
      <c r="D37" s="1"/>
      <c r="E37" s="1"/>
      <c r="F37" s="1"/>
      <c r="G37" s="1"/>
      <c r="H37" s="1"/>
      <c r="L37" s="3"/>
      <c r="M37" s="1"/>
      <c r="N37" s="1"/>
    </row>
  </sheetData>
  <mergeCells count="19">
    <mergeCell ref="B31:C31"/>
    <mergeCell ref="B27:B30"/>
    <mergeCell ref="A26:A30"/>
    <mergeCell ref="B9:C9"/>
    <mergeCell ref="B26:C26"/>
    <mergeCell ref="A22:A25"/>
    <mergeCell ref="B22:C22"/>
    <mergeCell ref="B23:B25"/>
    <mergeCell ref="B10:B19"/>
    <mergeCell ref="A9:A21"/>
    <mergeCell ref="B20:B21"/>
    <mergeCell ref="A2:N2"/>
    <mergeCell ref="A6:A7"/>
    <mergeCell ref="D6:E6"/>
    <mergeCell ref="F6:H6"/>
    <mergeCell ref="I6:L6"/>
    <mergeCell ref="M6:M7"/>
    <mergeCell ref="N6:N7"/>
    <mergeCell ref="B6:C7"/>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4"/>
  <sheetViews>
    <sheetView workbookViewId="0"/>
  </sheetViews>
  <sheetFormatPr defaultRowHeight="12.75" x14ac:dyDescent="0.2"/>
  <cols>
    <col min="1" max="1" width="7.7109375" style="1" customWidth="1"/>
    <col min="2" max="2" width="6.7109375" style="1" customWidth="1"/>
    <col min="3" max="3" width="41.7109375" style="1" customWidth="1"/>
    <col min="4" max="4" width="14.7109375" style="2" customWidth="1"/>
    <col min="5" max="5" width="13.7109375" style="3" customWidth="1"/>
    <col min="6" max="6" width="14.7109375" style="2" customWidth="1"/>
    <col min="7" max="9" width="14.7109375" style="3" customWidth="1"/>
    <col min="10" max="10" width="16" style="3" customWidth="1"/>
    <col min="11" max="11" width="14.7109375" style="3" customWidth="1"/>
    <col min="12" max="12" width="14.7109375" style="843" customWidth="1"/>
    <col min="13" max="14" width="9.7109375" style="5" customWidth="1"/>
    <col min="15" max="15" width="12.140625" style="1" customWidth="1"/>
    <col min="16" max="257" width="9.140625" style="1"/>
    <col min="258" max="258" width="6.7109375" style="1" customWidth="1"/>
    <col min="259" max="259" width="39.85546875" style="1" customWidth="1"/>
    <col min="260" max="260" width="12.5703125" style="1" customWidth="1"/>
    <col min="261" max="262" width="13" style="1" customWidth="1"/>
    <col min="263" max="263" width="14" style="1" customWidth="1"/>
    <col min="264" max="264" width="12" style="1" customWidth="1"/>
    <col min="265" max="265" width="14.7109375" style="1" customWidth="1"/>
    <col min="266" max="266" width="13.140625" style="1" customWidth="1"/>
    <col min="267" max="267" width="11.7109375" style="1" customWidth="1"/>
    <col min="268" max="268" width="12.7109375" style="1" customWidth="1"/>
    <col min="269" max="270" width="7.42578125" style="1" customWidth="1"/>
    <col min="271" max="513" width="9.140625" style="1"/>
    <col min="514" max="514" width="6.7109375" style="1" customWidth="1"/>
    <col min="515" max="515" width="39.85546875" style="1" customWidth="1"/>
    <col min="516" max="516" width="12.5703125" style="1" customWidth="1"/>
    <col min="517" max="518" width="13" style="1" customWidth="1"/>
    <col min="519" max="519" width="14" style="1" customWidth="1"/>
    <col min="520" max="520" width="12" style="1" customWidth="1"/>
    <col min="521" max="521" width="14.7109375" style="1" customWidth="1"/>
    <col min="522" max="522" width="13.140625" style="1" customWidth="1"/>
    <col min="523" max="523" width="11.7109375" style="1" customWidth="1"/>
    <col min="524" max="524" width="12.7109375" style="1" customWidth="1"/>
    <col min="525" max="526" width="7.42578125" style="1" customWidth="1"/>
    <col min="527" max="769" width="9.140625" style="1"/>
    <col min="770" max="770" width="6.7109375" style="1" customWidth="1"/>
    <col min="771" max="771" width="39.85546875" style="1" customWidth="1"/>
    <col min="772" max="772" width="12.5703125" style="1" customWidth="1"/>
    <col min="773" max="774" width="13" style="1" customWidth="1"/>
    <col min="775" max="775" width="14" style="1" customWidth="1"/>
    <col min="776" max="776" width="12" style="1" customWidth="1"/>
    <col min="777" max="777" width="14.7109375" style="1" customWidth="1"/>
    <col min="778" max="778" width="13.140625" style="1" customWidth="1"/>
    <col min="779" max="779" width="11.7109375" style="1" customWidth="1"/>
    <col min="780" max="780" width="12.7109375" style="1" customWidth="1"/>
    <col min="781" max="782" width="7.42578125" style="1" customWidth="1"/>
    <col min="783" max="1025" width="9.140625" style="1"/>
    <col min="1026" max="1026" width="6.7109375" style="1" customWidth="1"/>
    <col min="1027" max="1027" width="39.85546875" style="1" customWidth="1"/>
    <col min="1028" max="1028" width="12.5703125" style="1" customWidth="1"/>
    <col min="1029" max="1030" width="13" style="1" customWidth="1"/>
    <col min="1031" max="1031" width="14" style="1" customWidth="1"/>
    <col min="1032" max="1032" width="12" style="1" customWidth="1"/>
    <col min="1033" max="1033" width="14.7109375" style="1" customWidth="1"/>
    <col min="1034" max="1034" width="13.140625" style="1" customWidth="1"/>
    <col min="1035" max="1035" width="11.7109375" style="1" customWidth="1"/>
    <col min="1036" max="1036" width="12.7109375" style="1" customWidth="1"/>
    <col min="1037" max="1038" width="7.42578125" style="1" customWidth="1"/>
    <col min="1039" max="1281" width="9.140625" style="1"/>
    <col min="1282" max="1282" width="6.7109375" style="1" customWidth="1"/>
    <col min="1283" max="1283" width="39.85546875" style="1" customWidth="1"/>
    <col min="1284" max="1284" width="12.5703125" style="1" customWidth="1"/>
    <col min="1285" max="1286" width="13" style="1" customWidth="1"/>
    <col min="1287" max="1287" width="14" style="1" customWidth="1"/>
    <col min="1288" max="1288" width="12" style="1" customWidth="1"/>
    <col min="1289" max="1289" width="14.7109375" style="1" customWidth="1"/>
    <col min="1290" max="1290" width="13.140625" style="1" customWidth="1"/>
    <col min="1291" max="1291" width="11.7109375" style="1" customWidth="1"/>
    <col min="1292" max="1292" width="12.7109375" style="1" customWidth="1"/>
    <col min="1293" max="1294" width="7.42578125" style="1" customWidth="1"/>
    <col min="1295" max="1537" width="9.140625" style="1"/>
    <col min="1538" max="1538" width="6.7109375" style="1" customWidth="1"/>
    <col min="1539" max="1539" width="39.85546875" style="1" customWidth="1"/>
    <col min="1540" max="1540" width="12.5703125" style="1" customWidth="1"/>
    <col min="1541" max="1542" width="13" style="1" customWidth="1"/>
    <col min="1543" max="1543" width="14" style="1" customWidth="1"/>
    <col min="1544" max="1544" width="12" style="1" customWidth="1"/>
    <col min="1545" max="1545" width="14.7109375" style="1" customWidth="1"/>
    <col min="1546" max="1546" width="13.140625" style="1" customWidth="1"/>
    <col min="1547" max="1547" width="11.7109375" style="1" customWidth="1"/>
    <col min="1548" max="1548" width="12.7109375" style="1" customWidth="1"/>
    <col min="1549" max="1550" width="7.42578125" style="1" customWidth="1"/>
    <col min="1551" max="1793" width="9.140625" style="1"/>
    <col min="1794" max="1794" width="6.7109375" style="1" customWidth="1"/>
    <col min="1795" max="1795" width="39.85546875" style="1" customWidth="1"/>
    <col min="1796" max="1796" width="12.5703125" style="1" customWidth="1"/>
    <col min="1797" max="1798" width="13" style="1" customWidth="1"/>
    <col min="1799" max="1799" width="14" style="1" customWidth="1"/>
    <col min="1800" max="1800" width="12" style="1" customWidth="1"/>
    <col min="1801" max="1801" width="14.7109375" style="1" customWidth="1"/>
    <col min="1802" max="1802" width="13.140625" style="1" customWidth="1"/>
    <col min="1803" max="1803" width="11.7109375" style="1" customWidth="1"/>
    <col min="1804" max="1804" width="12.7109375" style="1" customWidth="1"/>
    <col min="1805" max="1806" width="7.42578125" style="1" customWidth="1"/>
    <col min="1807" max="2049" width="9.140625" style="1"/>
    <col min="2050" max="2050" width="6.7109375" style="1" customWidth="1"/>
    <col min="2051" max="2051" width="39.85546875" style="1" customWidth="1"/>
    <col min="2052" max="2052" width="12.5703125" style="1" customWidth="1"/>
    <col min="2053" max="2054" width="13" style="1" customWidth="1"/>
    <col min="2055" max="2055" width="14" style="1" customWidth="1"/>
    <col min="2056" max="2056" width="12" style="1" customWidth="1"/>
    <col min="2057" max="2057" width="14.7109375" style="1" customWidth="1"/>
    <col min="2058" max="2058" width="13.140625" style="1" customWidth="1"/>
    <col min="2059" max="2059" width="11.7109375" style="1" customWidth="1"/>
    <col min="2060" max="2060" width="12.7109375" style="1" customWidth="1"/>
    <col min="2061" max="2062" width="7.42578125" style="1" customWidth="1"/>
    <col min="2063" max="2305" width="9.140625" style="1"/>
    <col min="2306" max="2306" width="6.7109375" style="1" customWidth="1"/>
    <col min="2307" max="2307" width="39.85546875" style="1" customWidth="1"/>
    <col min="2308" max="2308" width="12.5703125" style="1" customWidth="1"/>
    <col min="2309" max="2310" width="13" style="1" customWidth="1"/>
    <col min="2311" max="2311" width="14" style="1" customWidth="1"/>
    <col min="2312" max="2312" width="12" style="1" customWidth="1"/>
    <col min="2313" max="2313" width="14.7109375" style="1" customWidth="1"/>
    <col min="2314" max="2314" width="13.140625" style="1" customWidth="1"/>
    <col min="2315" max="2315" width="11.7109375" style="1" customWidth="1"/>
    <col min="2316" max="2316" width="12.7109375" style="1" customWidth="1"/>
    <col min="2317" max="2318" width="7.42578125" style="1" customWidth="1"/>
    <col min="2319" max="2561" width="9.140625" style="1"/>
    <col min="2562" max="2562" width="6.7109375" style="1" customWidth="1"/>
    <col min="2563" max="2563" width="39.85546875" style="1" customWidth="1"/>
    <col min="2564" max="2564" width="12.5703125" style="1" customWidth="1"/>
    <col min="2565" max="2566" width="13" style="1" customWidth="1"/>
    <col min="2567" max="2567" width="14" style="1" customWidth="1"/>
    <col min="2568" max="2568" width="12" style="1" customWidth="1"/>
    <col min="2569" max="2569" width="14.7109375" style="1" customWidth="1"/>
    <col min="2570" max="2570" width="13.140625" style="1" customWidth="1"/>
    <col min="2571" max="2571" width="11.7109375" style="1" customWidth="1"/>
    <col min="2572" max="2572" width="12.7109375" style="1" customWidth="1"/>
    <col min="2573" max="2574" width="7.42578125" style="1" customWidth="1"/>
    <col min="2575" max="2817" width="9.140625" style="1"/>
    <col min="2818" max="2818" width="6.7109375" style="1" customWidth="1"/>
    <col min="2819" max="2819" width="39.85546875" style="1" customWidth="1"/>
    <col min="2820" max="2820" width="12.5703125" style="1" customWidth="1"/>
    <col min="2821" max="2822" width="13" style="1" customWidth="1"/>
    <col min="2823" max="2823" width="14" style="1" customWidth="1"/>
    <col min="2824" max="2824" width="12" style="1" customWidth="1"/>
    <col min="2825" max="2825" width="14.7109375" style="1" customWidth="1"/>
    <col min="2826" max="2826" width="13.140625" style="1" customWidth="1"/>
    <col min="2827" max="2827" width="11.7109375" style="1" customWidth="1"/>
    <col min="2828" max="2828" width="12.7109375" style="1" customWidth="1"/>
    <col min="2829" max="2830" width="7.42578125" style="1" customWidth="1"/>
    <col min="2831" max="3073" width="9.140625" style="1"/>
    <col min="3074" max="3074" width="6.7109375" style="1" customWidth="1"/>
    <col min="3075" max="3075" width="39.85546875" style="1" customWidth="1"/>
    <col min="3076" max="3076" width="12.5703125" style="1" customWidth="1"/>
    <col min="3077" max="3078" width="13" style="1" customWidth="1"/>
    <col min="3079" max="3079" width="14" style="1" customWidth="1"/>
    <col min="3080" max="3080" width="12" style="1" customWidth="1"/>
    <col min="3081" max="3081" width="14.7109375" style="1" customWidth="1"/>
    <col min="3082" max="3082" width="13.140625" style="1" customWidth="1"/>
    <col min="3083" max="3083" width="11.7109375" style="1" customWidth="1"/>
    <col min="3084" max="3084" width="12.7109375" style="1" customWidth="1"/>
    <col min="3085" max="3086" width="7.42578125" style="1" customWidth="1"/>
    <col min="3087" max="3329" width="9.140625" style="1"/>
    <col min="3330" max="3330" width="6.7109375" style="1" customWidth="1"/>
    <col min="3331" max="3331" width="39.85546875" style="1" customWidth="1"/>
    <col min="3332" max="3332" width="12.5703125" style="1" customWidth="1"/>
    <col min="3333" max="3334" width="13" style="1" customWidth="1"/>
    <col min="3335" max="3335" width="14" style="1" customWidth="1"/>
    <col min="3336" max="3336" width="12" style="1" customWidth="1"/>
    <col min="3337" max="3337" width="14.7109375" style="1" customWidth="1"/>
    <col min="3338" max="3338" width="13.140625" style="1" customWidth="1"/>
    <col min="3339" max="3339" width="11.7109375" style="1" customWidth="1"/>
    <col min="3340" max="3340" width="12.7109375" style="1" customWidth="1"/>
    <col min="3341" max="3342" width="7.42578125" style="1" customWidth="1"/>
    <col min="3343" max="3585" width="9.140625" style="1"/>
    <col min="3586" max="3586" width="6.7109375" style="1" customWidth="1"/>
    <col min="3587" max="3587" width="39.85546875" style="1" customWidth="1"/>
    <col min="3588" max="3588" width="12.5703125" style="1" customWidth="1"/>
    <col min="3589" max="3590" width="13" style="1" customWidth="1"/>
    <col min="3591" max="3591" width="14" style="1" customWidth="1"/>
    <col min="3592" max="3592" width="12" style="1" customWidth="1"/>
    <col min="3593" max="3593" width="14.7109375" style="1" customWidth="1"/>
    <col min="3594" max="3594" width="13.140625" style="1" customWidth="1"/>
    <col min="3595" max="3595" width="11.7109375" style="1" customWidth="1"/>
    <col min="3596" max="3596" width="12.7109375" style="1" customWidth="1"/>
    <col min="3597" max="3598" width="7.42578125" style="1" customWidth="1"/>
    <col min="3599" max="3841" width="9.140625" style="1"/>
    <col min="3842" max="3842" width="6.7109375" style="1" customWidth="1"/>
    <col min="3843" max="3843" width="39.85546875" style="1" customWidth="1"/>
    <col min="3844" max="3844" width="12.5703125" style="1" customWidth="1"/>
    <col min="3845" max="3846" width="13" style="1" customWidth="1"/>
    <col min="3847" max="3847" width="14" style="1" customWidth="1"/>
    <col min="3848" max="3848" width="12" style="1" customWidth="1"/>
    <col min="3849" max="3849" width="14.7109375" style="1" customWidth="1"/>
    <col min="3850" max="3850" width="13.140625" style="1" customWidth="1"/>
    <col min="3851" max="3851" width="11.7109375" style="1" customWidth="1"/>
    <col min="3852" max="3852" width="12.7109375" style="1" customWidth="1"/>
    <col min="3853" max="3854" width="7.42578125" style="1" customWidth="1"/>
    <col min="3855" max="4097" width="9.140625" style="1"/>
    <col min="4098" max="4098" width="6.7109375" style="1" customWidth="1"/>
    <col min="4099" max="4099" width="39.85546875" style="1" customWidth="1"/>
    <col min="4100" max="4100" width="12.5703125" style="1" customWidth="1"/>
    <col min="4101" max="4102" width="13" style="1" customWidth="1"/>
    <col min="4103" max="4103" width="14" style="1" customWidth="1"/>
    <col min="4104" max="4104" width="12" style="1" customWidth="1"/>
    <col min="4105" max="4105" width="14.7109375" style="1" customWidth="1"/>
    <col min="4106" max="4106" width="13.140625" style="1" customWidth="1"/>
    <col min="4107" max="4107" width="11.7109375" style="1" customWidth="1"/>
    <col min="4108" max="4108" width="12.7109375" style="1" customWidth="1"/>
    <col min="4109" max="4110" width="7.42578125" style="1" customWidth="1"/>
    <col min="4111" max="4353" width="9.140625" style="1"/>
    <col min="4354" max="4354" width="6.7109375" style="1" customWidth="1"/>
    <col min="4355" max="4355" width="39.85546875" style="1" customWidth="1"/>
    <col min="4356" max="4356" width="12.5703125" style="1" customWidth="1"/>
    <col min="4357" max="4358" width="13" style="1" customWidth="1"/>
    <col min="4359" max="4359" width="14" style="1" customWidth="1"/>
    <col min="4360" max="4360" width="12" style="1" customWidth="1"/>
    <col min="4361" max="4361" width="14.7109375" style="1" customWidth="1"/>
    <col min="4362" max="4362" width="13.140625" style="1" customWidth="1"/>
    <col min="4363" max="4363" width="11.7109375" style="1" customWidth="1"/>
    <col min="4364" max="4364" width="12.7109375" style="1" customWidth="1"/>
    <col min="4365" max="4366" width="7.42578125" style="1" customWidth="1"/>
    <col min="4367" max="4609" width="9.140625" style="1"/>
    <col min="4610" max="4610" width="6.7109375" style="1" customWidth="1"/>
    <col min="4611" max="4611" width="39.85546875" style="1" customWidth="1"/>
    <col min="4612" max="4612" width="12.5703125" style="1" customWidth="1"/>
    <col min="4613" max="4614" width="13" style="1" customWidth="1"/>
    <col min="4615" max="4615" width="14" style="1" customWidth="1"/>
    <col min="4616" max="4616" width="12" style="1" customWidth="1"/>
    <col min="4617" max="4617" width="14.7109375" style="1" customWidth="1"/>
    <col min="4618" max="4618" width="13.140625" style="1" customWidth="1"/>
    <col min="4619" max="4619" width="11.7109375" style="1" customWidth="1"/>
    <col min="4620" max="4620" width="12.7109375" style="1" customWidth="1"/>
    <col min="4621" max="4622" width="7.42578125" style="1" customWidth="1"/>
    <col min="4623" max="4865" width="9.140625" style="1"/>
    <col min="4866" max="4866" width="6.7109375" style="1" customWidth="1"/>
    <col min="4867" max="4867" width="39.85546875" style="1" customWidth="1"/>
    <col min="4868" max="4868" width="12.5703125" style="1" customWidth="1"/>
    <col min="4869" max="4870" width="13" style="1" customWidth="1"/>
    <col min="4871" max="4871" width="14" style="1" customWidth="1"/>
    <col min="4872" max="4872" width="12" style="1" customWidth="1"/>
    <col min="4873" max="4873" width="14.7109375" style="1" customWidth="1"/>
    <col min="4874" max="4874" width="13.140625" style="1" customWidth="1"/>
    <col min="4875" max="4875" width="11.7109375" style="1" customWidth="1"/>
    <col min="4876" max="4876" width="12.7109375" style="1" customWidth="1"/>
    <col min="4877" max="4878" width="7.42578125" style="1" customWidth="1"/>
    <col min="4879" max="5121" width="9.140625" style="1"/>
    <col min="5122" max="5122" width="6.7109375" style="1" customWidth="1"/>
    <col min="5123" max="5123" width="39.85546875" style="1" customWidth="1"/>
    <col min="5124" max="5124" width="12.5703125" style="1" customWidth="1"/>
    <col min="5125" max="5126" width="13" style="1" customWidth="1"/>
    <col min="5127" max="5127" width="14" style="1" customWidth="1"/>
    <col min="5128" max="5128" width="12" style="1" customWidth="1"/>
    <col min="5129" max="5129" width="14.7109375" style="1" customWidth="1"/>
    <col min="5130" max="5130" width="13.140625" style="1" customWidth="1"/>
    <col min="5131" max="5131" width="11.7109375" style="1" customWidth="1"/>
    <col min="5132" max="5132" width="12.7109375" style="1" customWidth="1"/>
    <col min="5133" max="5134" width="7.42578125" style="1" customWidth="1"/>
    <col min="5135" max="5377" width="9.140625" style="1"/>
    <col min="5378" max="5378" width="6.7109375" style="1" customWidth="1"/>
    <col min="5379" max="5379" width="39.85546875" style="1" customWidth="1"/>
    <col min="5380" max="5380" width="12.5703125" style="1" customWidth="1"/>
    <col min="5381" max="5382" width="13" style="1" customWidth="1"/>
    <col min="5383" max="5383" width="14" style="1" customWidth="1"/>
    <col min="5384" max="5384" width="12" style="1" customWidth="1"/>
    <col min="5385" max="5385" width="14.7109375" style="1" customWidth="1"/>
    <col min="5386" max="5386" width="13.140625" style="1" customWidth="1"/>
    <col min="5387" max="5387" width="11.7109375" style="1" customWidth="1"/>
    <col min="5388" max="5388" width="12.7109375" style="1" customWidth="1"/>
    <col min="5389" max="5390" width="7.42578125" style="1" customWidth="1"/>
    <col min="5391" max="5633" width="9.140625" style="1"/>
    <col min="5634" max="5634" width="6.7109375" style="1" customWidth="1"/>
    <col min="5635" max="5635" width="39.85546875" style="1" customWidth="1"/>
    <col min="5636" max="5636" width="12.5703125" style="1" customWidth="1"/>
    <col min="5637" max="5638" width="13" style="1" customWidth="1"/>
    <col min="5639" max="5639" width="14" style="1" customWidth="1"/>
    <col min="5640" max="5640" width="12" style="1" customWidth="1"/>
    <col min="5641" max="5641" width="14.7109375" style="1" customWidth="1"/>
    <col min="5642" max="5642" width="13.140625" style="1" customWidth="1"/>
    <col min="5643" max="5643" width="11.7109375" style="1" customWidth="1"/>
    <col min="5644" max="5644" width="12.7109375" style="1" customWidth="1"/>
    <col min="5645" max="5646" width="7.42578125" style="1" customWidth="1"/>
    <col min="5647" max="5889" width="9.140625" style="1"/>
    <col min="5890" max="5890" width="6.7109375" style="1" customWidth="1"/>
    <col min="5891" max="5891" width="39.85546875" style="1" customWidth="1"/>
    <col min="5892" max="5892" width="12.5703125" style="1" customWidth="1"/>
    <col min="5893" max="5894" width="13" style="1" customWidth="1"/>
    <col min="5895" max="5895" width="14" style="1" customWidth="1"/>
    <col min="5896" max="5896" width="12" style="1" customWidth="1"/>
    <col min="5897" max="5897" width="14.7109375" style="1" customWidth="1"/>
    <col min="5898" max="5898" width="13.140625" style="1" customWidth="1"/>
    <col min="5899" max="5899" width="11.7109375" style="1" customWidth="1"/>
    <col min="5900" max="5900" width="12.7109375" style="1" customWidth="1"/>
    <col min="5901" max="5902" width="7.42578125" style="1" customWidth="1"/>
    <col min="5903" max="6145" width="9.140625" style="1"/>
    <col min="6146" max="6146" width="6.7109375" style="1" customWidth="1"/>
    <col min="6147" max="6147" width="39.85546875" style="1" customWidth="1"/>
    <col min="6148" max="6148" width="12.5703125" style="1" customWidth="1"/>
    <col min="6149" max="6150" width="13" style="1" customWidth="1"/>
    <col min="6151" max="6151" width="14" style="1" customWidth="1"/>
    <col min="6152" max="6152" width="12" style="1" customWidth="1"/>
    <col min="6153" max="6153" width="14.7109375" style="1" customWidth="1"/>
    <col min="6154" max="6154" width="13.140625" style="1" customWidth="1"/>
    <col min="6155" max="6155" width="11.7109375" style="1" customWidth="1"/>
    <col min="6156" max="6156" width="12.7109375" style="1" customWidth="1"/>
    <col min="6157" max="6158" width="7.42578125" style="1" customWidth="1"/>
    <col min="6159" max="6401" width="9.140625" style="1"/>
    <col min="6402" max="6402" width="6.7109375" style="1" customWidth="1"/>
    <col min="6403" max="6403" width="39.85546875" style="1" customWidth="1"/>
    <col min="6404" max="6404" width="12.5703125" style="1" customWidth="1"/>
    <col min="6405" max="6406" width="13" style="1" customWidth="1"/>
    <col min="6407" max="6407" width="14" style="1" customWidth="1"/>
    <col min="6408" max="6408" width="12" style="1" customWidth="1"/>
    <col min="6409" max="6409" width="14.7109375" style="1" customWidth="1"/>
    <col min="6410" max="6410" width="13.140625" style="1" customWidth="1"/>
    <col min="6411" max="6411" width="11.7109375" style="1" customWidth="1"/>
    <col min="6412" max="6412" width="12.7109375" style="1" customWidth="1"/>
    <col min="6413" max="6414" width="7.42578125" style="1" customWidth="1"/>
    <col min="6415" max="6657" width="9.140625" style="1"/>
    <col min="6658" max="6658" width="6.7109375" style="1" customWidth="1"/>
    <col min="6659" max="6659" width="39.85546875" style="1" customWidth="1"/>
    <col min="6660" max="6660" width="12.5703125" style="1" customWidth="1"/>
    <col min="6661" max="6662" width="13" style="1" customWidth="1"/>
    <col min="6663" max="6663" width="14" style="1" customWidth="1"/>
    <col min="6664" max="6664" width="12" style="1" customWidth="1"/>
    <col min="6665" max="6665" width="14.7109375" style="1" customWidth="1"/>
    <col min="6666" max="6666" width="13.140625" style="1" customWidth="1"/>
    <col min="6667" max="6667" width="11.7109375" style="1" customWidth="1"/>
    <col min="6668" max="6668" width="12.7109375" style="1" customWidth="1"/>
    <col min="6669" max="6670" width="7.42578125" style="1" customWidth="1"/>
    <col min="6671" max="6913" width="9.140625" style="1"/>
    <col min="6914" max="6914" width="6.7109375" style="1" customWidth="1"/>
    <col min="6915" max="6915" width="39.85546875" style="1" customWidth="1"/>
    <col min="6916" max="6916" width="12.5703125" style="1" customWidth="1"/>
    <col min="6917" max="6918" width="13" style="1" customWidth="1"/>
    <col min="6919" max="6919" width="14" style="1" customWidth="1"/>
    <col min="6920" max="6920" width="12" style="1" customWidth="1"/>
    <col min="6921" max="6921" width="14.7109375" style="1" customWidth="1"/>
    <col min="6922" max="6922" width="13.140625" style="1" customWidth="1"/>
    <col min="6923" max="6923" width="11.7109375" style="1" customWidth="1"/>
    <col min="6924" max="6924" width="12.7109375" style="1" customWidth="1"/>
    <col min="6925" max="6926" width="7.42578125" style="1" customWidth="1"/>
    <col min="6927" max="7169" width="9.140625" style="1"/>
    <col min="7170" max="7170" width="6.7109375" style="1" customWidth="1"/>
    <col min="7171" max="7171" width="39.85546875" style="1" customWidth="1"/>
    <col min="7172" max="7172" width="12.5703125" style="1" customWidth="1"/>
    <col min="7173" max="7174" width="13" style="1" customWidth="1"/>
    <col min="7175" max="7175" width="14" style="1" customWidth="1"/>
    <col min="7176" max="7176" width="12" style="1" customWidth="1"/>
    <col min="7177" max="7177" width="14.7109375" style="1" customWidth="1"/>
    <col min="7178" max="7178" width="13.140625" style="1" customWidth="1"/>
    <col min="7179" max="7179" width="11.7109375" style="1" customWidth="1"/>
    <col min="7180" max="7180" width="12.7109375" style="1" customWidth="1"/>
    <col min="7181" max="7182" width="7.42578125" style="1" customWidth="1"/>
    <col min="7183" max="7425" width="9.140625" style="1"/>
    <col min="7426" max="7426" width="6.7109375" style="1" customWidth="1"/>
    <col min="7427" max="7427" width="39.85546875" style="1" customWidth="1"/>
    <col min="7428" max="7428" width="12.5703125" style="1" customWidth="1"/>
    <col min="7429" max="7430" width="13" style="1" customWidth="1"/>
    <col min="7431" max="7431" width="14" style="1" customWidth="1"/>
    <col min="7432" max="7432" width="12" style="1" customWidth="1"/>
    <col min="7433" max="7433" width="14.7109375" style="1" customWidth="1"/>
    <col min="7434" max="7434" width="13.140625" style="1" customWidth="1"/>
    <col min="7435" max="7435" width="11.7109375" style="1" customWidth="1"/>
    <col min="7436" max="7436" width="12.7109375" style="1" customWidth="1"/>
    <col min="7437" max="7438" width="7.42578125" style="1" customWidth="1"/>
    <col min="7439" max="7681" width="9.140625" style="1"/>
    <col min="7682" max="7682" width="6.7109375" style="1" customWidth="1"/>
    <col min="7683" max="7683" width="39.85546875" style="1" customWidth="1"/>
    <col min="7684" max="7684" width="12.5703125" style="1" customWidth="1"/>
    <col min="7685" max="7686" width="13" style="1" customWidth="1"/>
    <col min="7687" max="7687" width="14" style="1" customWidth="1"/>
    <col min="7688" max="7688" width="12" style="1" customWidth="1"/>
    <col min="7689" max="7689" width="14.7109375" style="1" customWidth="1"/>
    <col min="7690" max="7690" width="13.140625" style="1" customWidth="1"/>
    <col min="7691" max="7691" width="11.7109375" style="1" customWidth="1"/>
    <col min="7692" max="7692" width="12.7109375" style="1" customWidth="1"/>
    <col min="7693" max="7694" width="7.42578125" style="1" customWidth="1"/>
    <col min="7695" max="7937" width="9.140625" style="1"/>
    <col min="7938" max="7938" width="6.7109375" style="1" customWidth="1"/>
    <col min="7939" max="7939" width="39.85546875" style="1" customWidth="1"/>
    <col min="7940" max="7940" width="12.5703125" style="1" customWidth="1"/>
    <col min="7941" max="7942" width="13" style="1" customWidth="1"/>
    <col min="7943" max="7943" width="14" style="1" customWidth="1"/>
    <col min="7944" max="7944" width="12" style="1" customWidth="1"/>
    <col min="7945" max="7945" width="14.7109375" style="1" customWidth="1"/>
    <col min="7946" max="7946" width="13.140625" style="1" customWidth="1"/>
    <col min="7947" max="7947" width="11.7109375" style="1" customWidth="1"/>
    <col min="7948" max="7948" width="12.7109375" style="1" customWidth="1"/>
    <col min="7949" max="7950" width="7.42578125" style="1" customWidth="1"/>
    <col min="7951" max="8193" width="9.140625" style="1"/>
    <col min="8194" max="8194" width="6.7109375" style="1" customWidth="1"/>
    <col min="8195" max="8195" width="39.85546875" style="1" customWidth="1"/>
    <col min="8196" max="8196" width="12.5703125" style="1" customWidth="1"/>
    <col min="8197" max="8198" width="13" style="1" customWidth="1"/>
    <col min="8199" max="8199" width="14" style="1" customWidth="1"/>
    <col min="8200" max="8200" width="12" style="1" customWidth="1"/>
    <col min="8201" max="8201" width="14.7109375" style="1" customWidth="1"/>
    <col min="8202" max="8202" width="13.140625" style="1" customWidth="1"/>
    <col min="8203" max="8203" width="11.7109375" style="1" customWidth="1"/>
    <col min="8204" max="8204" width="12.7109375" style="1" customWidth="1"/>
    <col min="8205" max="8206" width="7.42578125" style="1" customWidth="1"/>
    <col min="8207" max="8449" width="9.140625" style="1"/>
    <col min="8450" max="8450" width="6.7109375" style="1" customWidth="1"/>
    <col min="8451" max="8451" width="39.85546875" style="1" customWidth="1"/>
    <col min="8452" max="8452" width="12.5703125" style="1" customWidth="1"/>
    <col min="8453" max="8454" width="13" style="1" customWidth="1"/>
    <col min="8455" max="8455" width="14" style="1" customWidth="1"/>
    <col min="8456" max="8456" width="12" style="1" customWidth="1"/>
    <col min="8457" max="8457" width="14.7109375" style="1" customWidth="1"/>
    <col min="8458" max="8458" width="13.140625" style="1" customWidth="1"/>
    <col min="8459" max="8459" width="11.7109375" style="1" customWidth="1"/>
    <col min="8460" max="8460" width="12.7109375" style="1" customWidth="1"/>
    <col min="8461" max="8462" width="7.42578125" style="1" customWidth="1"/>
    <col min="8463" max="8705" width="9.140625" style="1"/>
    <col min="8706" max="8706" width="6.7109375" style="1" customWidth="1"/>
    <col min="8707" max="8707" width="39.85546875" style="1" customWidth="1"/>
    <col min="8708" max="8708" width="12.5703125" style="1" customWidth="1"/>
    <col min="8709" max="8710" width="13" style="1" customWidth="1"/>
    <col min="8711" max="8711" width="14" style="1" customWidth="1"/>
    <col min="8712" max="8712" width="12" style="1" customWidth="1"/>
    <col min="8713" max="8713" width="14.7109375" style="1" customWidth="1"/>
    <col min="8714" max="8714" width="13.140625" style="1" customWidth="1"/>
    <col min="8715" max="8715" width="11.7109375" style="1" customWidth="1"/>
    <col min="8716" max="8716" width="12.7109375" style="1" customWidth="1"/>
    <col min="8717" max="8718" width="7.42578125" style="1" customWidth="1"/>
    <col min="8719" max="8961" width="9.140625" style="1"/>
    <col min="8962" max="8962" width="6.7109375" style="1" customWidth="1"/>
    <col min="8963" max="8963" width="39.85546875" style="1" customWidth="1"/>
    <col min="8964" max="8964" width="12.5703125" style="1" customWidth="1"/>
    <col min="8965" max="8966" width="13" style="1" customWidth="1"/>
    <col min="8967" max="8967" width="14" style="1" customWidth="1"/>
    <col min="8968" max="8968" width="12" style="1" customWidth="1"/>
    <col min="8969" max="8969" width="14.7109375" style="1" customWidth="1"/>
    <col min="8970" max="8970" width="13.140625" style="1" customWidth="1"/>
    <col min="8971" max="8971" width="11.7109375" style="1" customWidth="1"/>
    <col min="8972" max="8972" width="12.7109375" style="1" customWidth="1"/>
    <col min="8973" max="8974" width="7.42578125" style="1" customWidth="1"/>
    <col min="8975" max="9217" width="9.140625" style="1"/>
    <col min="9218" max="9218" width="6.7109375" style="1" customWidth="1"/>
    <col min="9219" max="9219" width="39.85546875" style="1" customWidth="1"/>
    <col min="9220" max="9220" width="12.5703125" style="1" customWidth="1"/>
    <col min="9221" max="9222" width="13" style="1" customWidth="1"/>
    <col min="9223" max="9223" width="14" style="1" customWidth="1"/>
    <col min="9224" max="9224" width="12" style="1" customWidth="1"/>
    <col min="9225" max="9225" width="14.7109375" style="1" customWidth="1"/>
    <col min="9226" max="9226" width="13.140625" style="1" customWidth="1"/>
    <col min="9227" max="9227" width="11.7109375" style="1" customWidth="1"/>
    <col min="9228" max="9228" width="12.7109375" style="1" customWidth="1"/>
    <col min="9229" max="9230" width="7.42578125" style="1" customWidth="1"/>
    <col min="9231" max="9473" width="9.140625" style="1"/>
    <col min="9474" max="9474" width="6.7109375" style="1" customWidth="1"/>
    <col min="9475" max="9475" width="39.85546875" style="1" customWidth="1"/>
    <col min="9476" max="9476" width="12.5703125" style="1" customWidth="1"/>
    <col min="9477" max="9478" width="13" style="1" customWidth="1"/>
    <col min="9479" max="9479" width="14" style="1" customWidth="1"/>
    <col min="9480" max="9480" width="12" style="1" customWidth="1"/>
    <col min="9481" max="9481" width="14.7109375" style="1" customWidth="1"/>
    <col min="9482" max="9482" width="13.140625" style="1" customWidth="1"/>
    <col min="9483" max="9483" width="11.7109375" style="1" customWidth="1"/>
    <col min="9484" max="9484" width="12.7109375" style="1" customWidth="1"/>
    <col min="9485" max="9486" width="7.42578125" style="1" customWidth="1"/>
    <col min="9487" max="9729" width="9.140625" style="1"/>
    <col min="9730" max="9730" width="6.7109375" style="1" customWidth="1"/>
    <col min="9731" max="9731" width="39.85546875" style="1" customWidth="1"/>
    <col min="9732" max="9732" width="12.5703125" style="1" customWidth="1"/>
    <col min="9733" max="9734" width="13" style="1" customWidth="1"/>
    <col min="9735" max="9735" width="14" style="1" customWidth="1"/>
    <col min="9736" max="9736" width="12" style="1" customWidth="1"/>
    <col min="9737" max="9737" width="14.7109375" style="1" customWidth="1"/>
    <col min="9738" max="9738" width="13.140625" style="1" customWidth="1"/>
    <col min="9739" max="9739" width="11.7109375" style="1" customWidth="1"/>
    <col min="9740" max="9740" width="12.7109375" style="1" customWidth="1"/>
    <col min="9741" max="9742" width="7.42578125" style="1" customWidth="1"/>
    <col min="9743" max="9985" width="9.140625" style="1"/>
    <col min="9986" max="9986" width="6.7109375" style="1" customWidth="1"/>
    <col min="9987" max="9987" width="39.85546875" style="1" customWidth="1"/>
    <col min="9988" max="9988" width="12.5703125" style="1" customWidth="1"/>
    <col min="9989" max="9990" width="13" style="1" customWidth="1"/>
    <col min="9991" max="9991" width="14" style="1" customWidth="1"/>
    <col min="9992" max="9992" width="12" style="1" customWidth="1"/>
    <col min="9993" max="9993" width="14.7109375" style="1" customWidth="1"/>
    <col min="9994" max="9994" width="13.140625" style="1" customWidth="1"/>
    <col min="9995" max="9995" width="11.7109375" style="1" customWidth="1"/>
    <col min="9996" max="9996" width="12.7109375" style="1" customWidth="1"/>
    <col min="9997" max="9998" width="7.42578125" style="1" customWidth="1"/>
    <col min="9999" max="10241" width="9.140625" style="1"/>
    <col min="10242" max="10242" width="6.7109375" style="1" customWidth="1"/>
    <col min="10243" max="10243" width="39.85546875" style="1" customWidth="1"/>
    <col min="10244" max="10244" width="12.5703125" style="1" customWidth="1"/>
    <col min="10245" max="10246" width="13" style="1" customWidth="1"/>
    <col min="10247" max="10247" width="14" style="1" customWidth="1"/>
    <col min="10248" max="10248" width="12" style="1" customWidth="1"/>
    <col min="10249" max="10249" width="14.7109375" style="1" customWidth="1"/>
    <col min="10250" max="10250" width="13.140625" style="1" customWidth="1"/>
    <col min="10251" max="10251" width="11.7109375" style="1" customWidth="1"/>
    <col min="10252" max="10252" width="12.7109375" style="1" customWidth="1"/>
    <col min="10253" max="10254" width="7.42578125" style="1" customWidth="1"/>
    <col min="10255" max="10497" width="9.140625" style="1"/>
    <col min="10498" max="10498" width="6.7109375" style="1" customWidth="1"/>
    <col min="10499" max="10499" width="39.85546875" style="1" customWidth="1"/>
    <col min="10500" max="10500" width="12.5703125" style="1" customWidth="1"/>
    <col min="10501" max="10502" width="13" style="1" customWidth="1"/>
    <col min="10503" max="10503" width="14" style="1" customWidth="1"/>
    <col min="10504" max="10504" width="12" style="1" customWidth="1"/>
    <col min="10505" max="10505" width="14.7109375" style="1" customWidth="1"/>
    <col min="10506" max="10506" width="13.140625" style="1" customWidth="1"/>
    <col min="10507" max="10507" width="11.7109375" style="1" customWidth="1"/>
    <col min="10508" max="10508" width="12.7109375" style="1" customWidth="1"/>
    <col min="10509" max="10510" width="7.42578125" style="1" customWidth="1"/>
    <col min="10511" max="10753" width="9.140625" style="1"/>
    <col min="10754" max="10754" width="6.7109375" style="1" customWidth="1"/>
    <col min="10755" max="10755" width="39.85546875" style="1" customWidth="1"/>
    <col min="10756" max="10756" width="12.5703125" style="1" customWidth="1"/>
    <col min="10757" max="10758" width="13" style="1" customWidth="1"/>
    <col min="10759" max="10759" width="14" style="1" customWidth="1"/>
    <col min="10760" max="10760" width="12" style="1" customWidth="1"/>
    <col min="10761" max="10761" width="14.7109375" style="1" customWidth="1"/>
    <col min="10762" max="10762" width="13.140625" style="1" customWidth="1"/>
    <col min="10763" max="10763" width="11.7109375" style="1" customWidth="1"/>
    <col min="10764" max="10764" width="12.7109375" style="1" customWidth="1"/>
    <col min="10765" max="10766" width="7.42578125" style="1" customWidth="1"/>
    <col min="10767" max="11009" width="9.140625" style="1"/>
    <col min="11010" max="11010" width="6.7109375" style="1" customWidth="1"/>
    <col min="11011" max="11011" width="39.85546875" style="1" customWidth="1"/>
    <col min="11012" max="11012" width="12.5703125" style="1" customWidth="1"/>
    <col min="11013" max="11014" width="13" style="1" customWidth="1"/>
    <col min="11015" max="11015" width="14" style="1" customWidth="1"/>
    <col min="11016" max="11016" width="12" style="1" customWidth="1"/>
    <col min="11017" max="11017" width="14.7109375" style="1" customWidth="1"/>
    <col min="11018" max="11018" width="13.140625" style="1" customWidth="1"/>
    <col min="11019" max="11019" width="11.7109375" style="1" customWidth="1"/>
    <col min="11020" max="11020" width="12.7109375" style="1" customWidth="1"/>
    <col min="11021" max="11022" width="7.42578125" style="1" customWidth="1"/>
    <col min="11023" max="11265" width="9.140625" style="1"/>
    <col min="11266" max="11266" width="6.7109375" style="1" customWidth="1"/>
    <col min="11267" max="11267" width="39.85546875" style="1" customWidth="1"/>
    <col min="11268" max="11268" width="12.5703125" style="1" customWidth="1"/>
    <col min="11269" max="11270" width="13" style="1" customWidth="1"/>
    <col min="11271" max="11271" width="14" style="1" customWidth="1"/>
    <col min="11272" max="11272" width="12" style="1" customWidth="1"/>
    <col min="11273" max="11273" width="14.7109375" style="1" customWidth="1"/>
    <col min="11274" max="11274" width="13.140625" style="1" customWidth="1"/>
    <col min="11275" max="11275" width="11.7109375" style="1" customWidth="1"/>
    <col min="11276" max="11276" width="12.7109375" style="1" customWidth="1"/>
    <col min="11277" max="11278" width="7.42578125" style="1" customWidth="1"/>
    <col min="11279" max="11521" width="9.140625" style="1"/>
    <col min="11522" max="11522" width="6.7109375" style="1" customWidth="1"/>
    <col min="11523" max="11523" width="39.85546875" style="1" customWidth="1"/>
    <col min="11524" max="11524" width="12.5703125" style="1" customWidth="1"/>
    <col min="11525" max="11526" width="13" style="1" customWidth="1"/>
    <col min="11527" max="11527" width="14" style="1" customWidth="1"/>
    <col min="11528" max="11528" width="12" style="1" customWidth="1"/>
    <col min="11529" max="11529" width="14.7109375" style="1" customWidth="1"/>
    <col min="11530" max="11530" width="13.140625" style="1" customWidth="1"/>
    <col min="11531" max="11531" width="11.7109375" style="1" customWidth="1"/>
    <col min="11532" max="11532" width="12.7109375" style="1" customWidth="1"/>
    <col min="11533" max="11534" width="7.42578125" style="1" customWidth="1"/>
    <col min="11535" max="11777" width="9.140625" style="1"/>
    <col min="11778" max="11778" width="6.7109375" style="1" customWidth="1"/>
    <col min="11779" max="11779" width="39.85546875" style="1" customWidth="1"/>
    <col min="11780" max="11780" width="12.5703125" style="1" customWidth="1"/>
    <col min="11781" max="11782" width="13" style="1" customWidth="1"/>
    <col min="11783" max="11783" width="14" style="1" customWidth="1"/>
    <col min="11784" max="11784" width="12" style="1" customWidth="1"/>
    <col min="11785" max="11785" width="14.7109375" style="1" customWidth="1"/>
    <col min="11786" max="11786" width="13.140625" style="1" customWidth="1"/>
    <col min="11787" max="11787" width="11.7109375" style="1" customWidth="1"/>
    <col min="11788" max="11788" width="12.7109375" style="1" customWidth="1"/>
    <col min="11789" max="11790" width="7.42578125" style="1" customWidth="1"/>
    <col min="11791" max="12033" width="9.140625" style="1"/>
    <col min="12034" max="12034" width="6.7109375" style="1" customWidth="1"/>
    <col min="12035" max="12035" width="39.85546875" style="1" customWidth="1"/>
    <col min="12036" max="12036" width="12.5703125" style="1" customWidth="1"/>
    <col min="12037" max="12038" width="13" style="1" customWidth="1"/>
    <col min="12039" max="12039" width="14" style="1" customWidth="1"/>
    <col min="12040" max="12040" width="12" style="1" customWidth="1"/>
    <col min="12041" max="12041" width="14.7109375" style="1" customWidth="1"/>
    <col min="12042" max="12042" width="13.140625" style="1" customWidth="1"/>
    <col min="12043" max="12043" width="11.7109375" style="1" customWidth="1"/>
    <col min="12044" max="12044" width="12.7109375" style="1" customWidth="1"/>
    <col min="12045" max="12046" width="7.42578125" style="1" customWidth="1"/>
    <col min="12047" max="12289" width="9.140625" style="1"/>
    <col min="12290" max="12290" width="6.7109375" style="1" customWidth="1"/>
    <col min="12291" max="12291" width="39.85546875" style="1" customWidth="1"/>
    <col min="12292" max="12292" width="12.5703125" style="1" customWidth="1"/>
    <col min="12293" max="12294" width="13" style="1" customWidth="1"/>
    <col min="12295" max="12295" width="14" style="1" customWidth="1"/>
    <col min="12296" max="12296" width="12" style="1" customWidth="1"/>
    <col min="12297" max="12297" width="14.7109375" style="1" customWidth="1"/>
    <col min="12298" max="12298" width="13.140625" style="1" customWidth="1"/>
    <col min="12299" max="12299" width="11.7109375" style="1" customWidth="1"/>
    <col min="12300" max="12300" width="12.7109375" style="1" customWidth="1"/>
    <col min="12301" max="12302" width="7.42578125" style="1" customWidth="1"/>
    <col min="12303" max="12545" width="9.140625" style="1"/>
    <col min="12546" max="12546" width="6.7109375" style="1" customWidth="1"/>
    <col min="12547" max="12547" width="39.85546875" style="1" customWidth="1"/>
    <col min="12548" max="12548" width="12.5703125" style="1" customWidth="1"/>
    <col min="12549" max="12550" width="13" style="1" customWidth="1"/>
    <col min="12551" max="12551" width="14" style="1" customWidth="1"/>
    <col min="12552" max="12552" width="12" style="1" customWidth="1"/>
    <col min="12553" max="12553" width="14.7109375" style="1" customWidth="1"/>
    <col min="12554" max="12554" width="13.140625" style="1" customWidth="1"/>
    <col min="12555" max="12555" width="11.7109375" style="1" customWidth="1"/>
    <col min="12556" max="12556" width="12.7109375" style="1" customWidth="1"/>
    <col min="12557" max="12558" width="7.42578125" style="1" customWidth="1"/>
    <col min="12559" max="12801" width="9.140625" style="1"/>
    <col min="12802" max="12802" width="6.7109375" style="1" customWidth="1"/>
    <col min="12803" max="12803" width="39.85546875" style="1" customWidth="1"/>
    <col min="12804" max="12804" width="12.5703125" style="1" customWidth="1"/>
    <col min="12805" max="12806" width="13" style="1" customWidth="1"/>
    <col min="12807" max="12807" width="14" style="1" customWidth="1"/>
    <col min="12808" max="12808" width="12" style="1" customWidth="1"/>
    <col min="12809" max="12809" width="14.7109375" style="1" customWidth="1"/>
    <col min="12810" max="12810" width="13.140625" style="1" customWidth="1"/>
    <col min="12811" max="12811" width="11.7109375" style="1" customWidth="1"/>
    <col min="12812" max="12812" width="12.7109375" style="1" customWidth="1"/>
    <col min="12813" max="12814" width="7.42578125" style="1" customWidth="1"/>
    <col min="12815" max="13057" width="9.140625" style="1"/>
    <col min="13058" max="13058" width="6.7109375" style="1" customWidth="1"/>
    <col min="13059" max="13059" width="39.85546875" style="1" customWidth="1"/>
    <col min="13060" max="13060" width="12.5703125" style="1" customWidth="1"/>
    <col min="13061" max="13062" width="13" style="1" customWidth="1"/>
    <col min="13063" max="13063" width="14" style="1" customWidth="1"/>
    <col min="13064" max="13064" width="12" style="1" customWidth="1"/>
    <col min="13065" max="13065" width="14.7109375" style="1" customWidth="1"/>
    <col min="13066" max="13066" width="13.140625" style="1" customWidth="1"/>
    <col min="13067" max="13067" width="11.7109375" style="1" customWidth="1"/>
    <col min="13068" max="13068" width="12.7109375" style="1" customWidth="1"/>
    <col min="13069" max="13070" width="7.42578125" style="1" customWidth="1"/>
    <col min="13071" max="13313" width="9.140625" style="1"/>
    <col min="13314" max="13314" width="6.7109375" style="1" customWidth="1"/>
    <col min="13315" max="13315" width="39.85546875" style="1" customWidth="1"/>
    <col min="13316" max="13316" width="12.5703125" style="1" customWidth="1"/>
    <col min="13317" max="13318" width="13" style="1" customWidth="1"/>
    <col min="13319" max="13319" width="14" style="1" customWidth="1"/>
    <col min="13320" max="13320" width="12" style="1" customWidth="1"/>
    <col min="13321" max="13321" width="14.7109375" style="1" customWidth="1"/>
    <col min="13322" max="13322" width="13.140625" style="1" customWidth="1"/>
    <col min="13323" max="13323" width="11.7109375" style="1" customWidth="1"/>
    <col min="13324" max="13324" width="12.7109375" style="1" customWidth="1"/>
    <col min="13325" max="13326" width="7.42578125" style="1" customWidth="1"/>
    <col min="13327" max="13569" width="9.140625" style="1"/>
    <col min="13570" max="13570" width="6.7109375" style="1" customWidth="1"/>
    <col min="13571" max="13571" width="39.85546875" style="1" customWidth="1"/>
    <col min="13572" max="13572" width="12.5703125" style="1" customWidth="1"/>
    <col min="13573" max="13574" width="13" style="1" customWidth="1"/>
    <col min="13575" max="13575" width="14" style="1" customWidth="1"/>
    <col min="13576" max="13576" width="12" style="1" customWidth="1"/>
    <col min="13577" max="13577" width="14.7109375" style="1" customWidth="1"/>
    <col min="13578" max="13578" width="13.140625" style="1" customWidth="1"/>
    <col min="13579" max="13579" width="11.7109375" style="1" customWidth="1"/>
    <col min="13580" max="13580" width="12.7109375" style="1" customWidth="1"/>
    <col min="13581" max="13582" width="7.42578125" style="1" customWidth="1"/>
    <col min="13583" max="13825" width="9.140625" style="1"/>
    <col min="13826" max="13826" width="6.7109375" style="1" customWidth="1"/>
    <col min="13827" max="13827" width="39.85546875" style="1" customWidth="1"/>
    <col min="13828" max="13828" width="12.5703125" style="1" customWidth="1"/>
    <col min="13829" max="13830" width="13" style="1" customWidth="1"/>
    <col min="13831" max="13831" width="14" style="1" customWidth="1"/>
    <col min="13832" max="13832" width="12" style="1" customWidth="1"/>
    <col min="13833" max="13833" width="14.7109375" style="1" customWidth="1"/>
    <col min="13834" max="13834" width="13.140625" style="1" customWidth="1"/>
    <col min="13835" max="13835" width="11.7109375" style="1" customWidth="1"/>
    <col min="13836" max="13836" width="12.7109375" style="1" customWidth="1"/>
    <col min="13837" max="13838" width="7.42578125" style="1" customWidth="1"/>
    <col min="13839" max="14081" width="9.140625" style="1"/>
    <col min="14082" max="14082" width="6.7109375" style="1" customWidth="1"/>
    <col min="14083" max="14083" width="39.85546875" style="1" customWidth="1"/>
    <col min="14084" max="14084" width="12.5703125" style="1" customWidth="1"/>
    <col min="14085" max="14086" width="13" style="1" customWidth="1"/>
    <col min="14087" max="14087" width="14" style="1" customWidth="1"/>
    <col min="14088" max="14088" width="12" style="1" customWidth="1"/>
    <col min="14089" max="14089" width="14.7109375" style="1" customWidth="1"/>
    <col min="14090" max="14090" width="13.140625" style="1" customWidth="1"/>
    <col min="14091" max="14091" width="11.7109375" style="1" customWidth="1"/>
    <col min="14092" max="14092" width="12.7109375" style="1" customWidth="1"/>
    <col min="14093" max="14094" width="7.42578125" style="1" customWidth="1"/>
    <col min="14095" max="14337" width="9.140625" style="1"/>
    <col min="14338" max="14338" width="6.7109375" style="1" customWidth="1"/>
    <col min="14339" max="14339" width="39.85546875" style="1" customWidth="1"/>
    <col min="14340" max="14340" width="12.5703125" style="1" customWidth="1"/>
    <col min="14341" max="14342" width="13" style="1" customWidth="1"/>
    <col min="14343" max="14343" width="14" style="1" customWidth="1"/>
    <col min="14344" max="14344" width="12" style="1" customWidth="1"/>
    <col min="14345" max="14345" width="14.7109375" style="1" customWidth="1"/>
    <col min="14346" max="14346" width="13.140625" style="1" customWidth="1"/>
    <col min="14347" max="14347" width="11.7109375" style="1" customWidth="1"/>
    <col min="14348" max="14348" width="12.7109375" style="1" customWidth="1"/>
    <col min="14349" max="14350" width="7.42578125" style="1" customWidth="1"/>
    <col min="14351" max="14593" width="9.140625" style="1"/>
    <col min="14594" max="14594" width="6.7109375" style="1" customWidth="1"/>
    <col min="14595" max="14595" width="39.85546875" style="1" customWidth="1"/>
    <col min="14596" max="14596" width="12.5703125" style="1" customWidth="1"/>
    <col min="14597" max="14598" width="13" style="1" customWidth="1"/>
    <col min="14599" max="14599" width="14" style="1" customWidth="1"/>
    <col min="14600" max="14600" width="12" style="1" customWidth="1"/>
    <col min="14601" max="14601" width="14.7109375" style="1" customWidth="1"/>
    <col min="14602" max="14602" width="13.140625" style="1" customWidth="1"/>
    <col min="14603" max="14603" width="11.7109375" style="1" customWidth="1"/>
    <col min="14604" max="14604" width="12.7109375" style="1" customWidth="1"/>
    <col min="14605" max="14606" width="7.42578125" style="1" customWidth="1"/>
    <col min="14607" max="14849" width="9.140625" style="1"/>
    <col min="14850" max="14850" width="6.7109375" style="1" customWidth="1"/>
    <col min="14851" max="14851" width="39.85546875" style="1" customWidth="1"/>
    <col min="14852" max="14852" width="12.5703125" style="1" customWidth="1"/>
    <col min="14853" max="14854" width="13" style="1" customWidth="1"/>
    <col min="14855" max="14855" width="14" style="1" customWidth="1"/>
    <col min="14856" max="14856" width="12" style="1" customWidth="1"/>
    <col min="14857" max="14857" width="14.7109375" style="1" customWidth="1"/>
    <col min="14858" max="14858" width="13.140625" style="1" customWidth="1"/>
    <col min="14859" max="14859" width="11.7109375" style="1" customWidth="1"/>
    <col min="14860" max="14860" width="12.7109375" style="1" customWidth="1"/>
    <col min="14861" max="14862" width="7.42578125" style="1" customWidth="1"/>
    <col min="14863" max="15105" width="9.140625" style="1"/>
    <col min="15106" max="15106" width="6.7109375" style="1" customWidth="1"/>
    <col min="15107" max="15107" width="39.85546875" style="1" customWidth="1"/>
    <col min="15108" max="15108" width="12.5703125" style="1" customWidth="1"/>
    <col min="15109" max="15110" width="13" style="1" customWidth="1"/>
    <col min="15111" max="15111" width="14" style="1" customWidth="1"/>
    <col min="15112" max="15112" width="12" style="1" customWidth="1"/>
    <col min="15113" max="15113" width="14.7109375" style="1" customWidth="1"/>
    <col min="15114" max="15114" width="13.140625" style="1" customWidth="1"/>
    <col min="15115" max="15115" width="11.7109375" style="1" customWidth="1"/>
    <col min="15116" max="15116" width="12.7109375" style="1" customWidth="1"/>
    <col min="15117" max="15118" width="7.42578125" style="1" customWidth="1"/>
    <col min="15119" max="15361" width="9.140625" style="1"/>
    <col min="15362" max="15362" width="6.7109375" style="1" customWidth="1"/>
    <col min="15363" max="15363" width="39.85546875" style="1" customWidth="1"/>
    <col min="15364" max="15364" width="12.5703125" style="1" customWidth="1"/>
    <col min="15365" max="15366" width="13" style="1" customWidth="1"/>
    <col min="15367" max="15367" width="14" style="1" customWidth="1"/>
    <col min="15368" max="15368" width="12" style="1" customWidth="1"/>
    <col min="15369" max="15369" width="14.7109375" style="1" customWidth="1"/>
    <col min="15370" max="15370" width="13.140625" style="1" customWidth="1"/>
    <col min="15371" max="15371" width="11.7109375" style="1" customWidth="1"/>
    <col min="15372" max="15372" width="12.7109375" style="1" customWidth="1"/>
    <col min="15373" max="15374" width="7.42578125" style="1" customWidth="1"/>
    <col min="15375" max="15617" width="9.140625" style="1"/>
    <col min="15618" max="15618" width="6.7109375" style="1" customWidth="1"/>
    <col min="15619" max="15619" width="39.85546875" style="1" customWidth="1"/>
    <col min="15620" max="15620" width="12.5703125" style="1" customWidth="1"/>
    <col min="15621" max="15622" width="13" style="1" customWidth="1"/>
    <col min="15623" max="15623" width="14" style="1" customWidth="1"/>
    <col min="15624" max="15624" width="12" style="1" customWidth="1"/>
    <col min="15625" max="15625" width="14.7109375" style="1" customWidth="1"/>
    <col min="15626" max="15626" width="13.140625" style="1" customWidth="1"/>
    <col min="15627" max="15627" width="11.7109375" style="1" customWidth="1"/>
    <col min="15628" max="15628" width="12.7109375" style="1" customWidth="1"/>
    <col min="15629" max="15630" width="7.42578125" style="1" customWidth="1"/>
    <col min="15631" max="15873" width="9.140625" style="1"/>
    <col min="15874" max="15874" width="6.7109375" style="1" customWidth="1"/>
    <col min="15875" max="15875" width="39.85546875" style="1" customWidth="1"/>
    <col min="15876" max="15876" width="12.5703125" style="1" customWidth="1"/>
    <col min="15877" max="15878" width="13" style="1" customWidth="1"/>
    <col min="15879" max="15879" width="14" style="1" customWidth="1"/>
    <col min="15880" max="15880" width="12" style="1" customWidth="1"/>
    <col min="15881" max="15881" width="14.7109375" style="1" customWidth="1"/>
    <col min="15882" max="15882" width="13.140625" style="1" customWidth="1"/>
    <col min="15883" max="15883" width="11.7109375" style="1" customWidth="1"/>
    <col min="15884" max="15884" width="12.7109375" style="1" customWidth="1"/>
    <col min="15885" max="15886" width="7.42578125" style="1" customWidth="1"/>
    <col min="15887" max="16129" width="9.140625" style="1"/>
    <col min="16130" max="16130" width="6.7109375" style="1" customWidth="1"/>
    <col min="16131" max="16131" width="39.85546875" style="1" customWidth="1"/>
    <col min="16132" max="16132" width="12.5703125" style="1" customWidth="1"/>
    <col min="16133" max="16134" width="13" style="1" customWidth="1"/>
    <col min="16135" max="16135" width="14" style="1" customWidth="1"/>
    <col min="16136" max="16136" width="12" style="1" customWidth="1"/>
    <col min="16137" max="16137" width="14.7109375" style="1" customWidth="1"/>
    <col min="16138" max="16138" width="13.140625" style="1" customWidth="1"/>
    <col min="16139" max="16139" width="11.7109375" style="1" customWidth="1"/>
    <col min="16140" max="16140" width="12.7109375" style="1" customWidth="1"/>
    <col min="16141" max="16142" width="7.42578125" style="1" customWidth="1"/>
    <col min="16143" max="16384" width="9.140625" style="1"/>
  </cols>
  <sheetData>
    <row r="1" spans="1:15" ht="15" x14ac:dyDescent="0.25">
      <c r="N1" s="6"/>
    </row>
    <row r="2" spans="1:15" ht="20.100000000000001" customHeight="1" x14ac:dyDescent="0.35">
      <c r="A2" s="1284" t="s">
        <v>570</v>
      </c>
      <c r="B2" s="1206"/>
      <c r="C2" s="1206"/>
      <c r="D2" s="1206"/>
      <c r="E2" s="1206"/>
      <c r="F2" s="1206"/>
      <c r="G2" s="1206"/>
      <c r="H2" s="1206"/>
      <c r="I2" s="1206"/>
      <c r="J2" s="1206"/>
      <c r="K2" s="1206"/>
      <c r="L2" s="1206"/>
      <c r="M2" s="1206"/>
      <c r="N2" s="1285"/>
    </row>
    <row r="3" spans="1:15" ht="15" customHeight="1" x14ac:dyDescent="0.2"/>
    <row r="4" spans="1:15" ht="20.100000000000001" customHeight="1" x14ac:dyDescent="0.3">
      <c r="A4" s="7" t="s">
        <v>166</v>
      </c>
      <c r="M4" s="8"/>
    </row>
    <row r="5" spans="1:15" ht="15" customHeight="1" thickBot="1" x14ac:dyDescent="0.35">
      <c r="A5" s="7"/>
      <c r="N5" s="8" t="s">
        <v>0</v>
      </c>
    </row>
    <row r="6" spans="1:15" s="62" customFormat="1" ht="15.7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5"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5" s="9" customFormat="1" ht="20.100000000000001" customHeight="1" thickBot="1" x14ac:dyDescent="0.3">
      <c r="B8" s="10" t="s">
        <v>104</v>
      </c>
      <c r="C8" s="10"/>
      <c r="D8" s="11"/>
      <c r="E8" s="12"/>
      <c r="F8" s="11"/>
      <c r="G8" s="13"/>
      <c r="H8" s="13"/>
      <c r="I8" s="13"/>
      <c r="J8" s="13"/>
      <c r="K8" s="13"/>
      <c r="L8" s="271"/>
      <c r="M8" s="16"/>
      <c r="N8" s="16"/>
    </row>
    <row r="9" spans="1:15" s="487" customFormat="1" ht="20.100000000000001" customHeight="1" x14ac:dyDescent="0.2">
      <c r="A9" s="509">
        <v>6113</v>
      </c>
      <c r="B9" s="674" t="s">
        <v>124</v>
      </c>
      <c r="C9" s="680"/>
      <c r="D9" s="453">
        <v>430</v>
      </c>
      <c r="E9" s="510">
        <v>339.44</v>
      </c>
      <c r="F9" s="489">
        <v>530</v>
      </c>
      <c r="G9" s="589">
        <v>530</v>
      </c>
      <c r="H9" s="511">
        <v>305.72000000000003</v>
      </c>
      <c r="I9" s="489">
        <v>530</v>
      </c>
      <c r="J9" s="455">
        <v>0</v>
      </c>
      <c r="K9" s="1077">
        <v>0</v>
      </c>
      <c r="L9" s="904">
        <f>SUM(I9:K9)</f>
        <v>530</v>
      </c>
      <c r="M9" s="493">
        <f t="shared" ref="M9:M12" si="0">L9/F9*100</f>
        <v>100</v>
      </c>
      <c r="N9" s="512">
        <f t="shared" ref="N9:N12" si="1">L9/G9*100</f>
        <v>100</v>
      </c>
      <c r="O9" s="506"/>
    </row>
    <row r="10" spans="1:15" s="487" customFormat="1" ht="20.100000000000001" customHeight="1" x14ac:dyDescent="0.2">
      <c r="A10" s="1310">
        <v>6172</v>
      </c>
      <c r="B10" s="675" t="s">
        <v>105</v>
      </c>
      <c r="C10" s="502"/>
      <c r="D10" s="494">
        <v>54788</v>
      </c>
      <c r="E10" s="495">
        <v>52131.18</v>
      </c>
      <c r="F10" s="530">
        <v>58553</v>
      </c>
      <c r="G10" s="528">
        <v>62423.08</v>
      </c>
      <c r="H10" s="503">
        <v>38100.89</v>
      </c>
      <c r="I10" s="1081">
        <v>55097</v>
      </c>
      <c r="J10" s="1082">
        <v>5015</v>
      </c>
      <c r="K10" s="1083">
        <v>232</v>
      </c>
      <c r="L10" s="1065">
        <f>SUM(I10:K10)</f>
        <v>60344</v>
      </c>
      <c r="M10" s="505">
        <f t="shared" si="0"/>
        <v>103.05876727067785</v>
      </c>
      <c r="N10" s="477">
        <f t="shared" si="1"/>
        <v>96.669372930653211</v>
      </c>
      <c r="O10" s="506"/>
    </row>
    <row r="11" spans="1:15" s="67" customFormat="1" ht="15" customHeight="1" thickBot="1" x14ac:dyDescent="0.25">
      <c r="A11" s="1315"/>
      <c r="B11" s="181" t="s">
        <v>96</v>
      </c>
      <c r="C11" s="669" t="s">
        <v>150</v>
      </c>
      <c r="D11" s="74">
        <v>250</v>
      </c>
      <c r="E11" s="75">
        <v>52.66</v>
      </c>
      <c r="F11" s="786">
        <v>250</v>
      </c>
      <c r="G11" s="434">
        <v>250</v>
      </c>
      <c r="H11" s="77">
        <v>96.8</v>
      </c>
      <c r="I11" s="1004">
        <v>250</v>
      </c>
      <c r="J11" s="1163">
        <v>0</v>
      </c>
      <c r="K11" s="1164">
        <v>0</v>
      </c>
      <c r="L11" s="1071">
        <f>SUM(I11:K11)</f>
        <v>250</v>
      </c>
      <c r="M11" s="92">
        <f t="shared" si="0"/>
        <v>100</v>
      </c>
      <c r="N11" s="79">
        <f t="shared" si="1"/>
        <v>100</v>
      </c>
      <c r="O11" s="345"/>
    </row>
    <row r="12" spans="1:15" s="90" customFormat="1" ht="20.100000000000001" customHeight="1" thickBot="1" x14ac:dyDescent="0.25">
      <c r="A12" s="188"/>
      <c r="B12" s="417" t="s">
        <v>85</v>
      </c>
      <c r="C12" s="677"/>
      <c r="D12" s="183">
        <f>+D9+D10</f>
        <v>55218</v>
      </c>
      <c r="E12" s="184">
        <f t="shared" ref="E12:L12" si="2">+E9+E10</f>
        <v>52470.62</v>
      </c>
      <c r="F12" s="183">
        <f t="shared" si="2"/>
        <v>59083</v>
      </c>
      <c r="G12" s="185">
        <f t="shared" si="2"/>
        <v>62953.08</v>
      </c>
      <c r="H12" s="184">
        <f t="shared" si="2"/>
        <v>38406.61</v>
      </c>
      <c r="I12" s="183">
        <f t="shared" si="2"/>
        <v>55627</v>
      </c>
      <c r="J12" s="982">
        <f t="shared" si="2"/>
        <v>5015</v>
      </c>
      <c r="K12" s="193">
        <f t="shared" si="2"/>
        <v>232</v>
      </c>
      <c r="L12" s="1067">
        <f t="shared" si="2"/>
        <v>60874</v>
      </c>
      <c r="M12" s="194">
        <f t="shared" si="0"/>
        <v>103.03132880862516</v>
      </c>
      <c r="N12" s="187">
        <f t="shared" si="1"/>
        <v>96.697413375167656</v>
      </c>
      <c r="O12" s="648"/>
    </row>
    <row r="13" spans="1:15" ht="15" customHeight="1" x14ac:dyDescent="0.25">
      <c r="A13" s="65"/>
      <c r="B13" s="20"/>
      <c r="C13" s="20"/>
      <c r="D13" s="21"/>
      <c r="E13" s="22"/>
      <c r="F13" s="21"/>
      <c r="G13" s="23"/>
      <c r="H13" s="23"/>
      <c r="I13" s="23"/>
      <c r="J13" s="23"/>
      <c r="K13" s="23"/>
      <c r="L13" s="23"/>
      <c r="M13" s="24"/>
      <c r="N13" s="25"/>
      <c r="O13" s="17"/>
    </row>
    <row r="14" spans="1:15" x14ac:dyDescent="0.2">
      <c r="D14" s="3"/>
      <c r="F14" s="3"/>
      <c r="L14" s="3"/>
    </row>
  </sheetData>
  <mergeCells count="9">
    <mergeCell ref="A10:A11"/>
    <mergeCell ref="B6:C7"/>
    <mergeCell ref="A2:N2"/>
    <mergeCell ref="A6:A7"/>
    <mergeCell ref="D6:E6"/>
    <mergeCell ref="F6:H6"/>
    <mergeCell ref="I6:L6"/>
    <mergeCell ref="M6:M7"/>
    <mergeCell ref="N6:N7"/>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23"/>
  <sheetViews>
    <sheetView workbookViewId="0"/>
  </sheetViews>
  <sheetFormatPr defaultColWidth="9.140625" defaultRowHeight="12.75" x14ac:dyDescent="0.2"/>
  <cols>
    <col min="1" max="1" width="7.7109375" style="67" customWidth="1"/>
    <col min="2" max="2" width="6.7109375" style="67" customWidth="1"/>
    <col min="3" max="3" width="40.7109375" style="67" customWidth="1"/>
    <col min="4" max="4" width="15.28515625" style="72" customWidth="1"/>
    <col min="5" max="5" width="15.28515625" style="148" customWidth="1"/>
    <col min="6" max="6" width="15.28515625" style="72" customWidth="1"/>
    <col min="7" max="11" width="15.28515625" style="148" customWidth="1"/>
    <col min="12" max="12" width="15.28515625" style="693" customWidth="1"/>
    <col min="13" max="14" width="9.7109375" style="149" customWidth="1"/>
    <col min="15" max="16384" width="9.140625" style="67"/>
  </cols>
  <sheetData>
    <row r="1" spans="1:21" ht="15" x14ac:dyDescent="0.2">
      <c r="N1" s="150"/>
    </row>
    <row r="2" spans="1:21" ht="20.25" customHeight="1" x14ac:dyDescent="0.35">
      <c r="A2" s="1284" t="s">
        <v>570</v>
      </c>
      <c r="B2" s="1206"/>
      <c r="C2" s="1206"/>
      <c r="D2" s="1206"/>
      <c r="E2" s="1206"/>
      <c r="F2" s="1206"/>
      <c r="G2" s="1206"/>
      <c r="H2" s="1206"/>
      <c r="I2" s="1206"/>
      <c r="J2" s="1206"/>
      <c r="K2" s="1206"/>
      <c r="L2" s="1206"/>
      <c r="M2" s="1206"/>
      <c r="N2" s="1285"/>
    </row>
    <row r="3" spans="1:21" ht="15" customHeight="1" x14ac:dyDescent="0.2"/>
    <row r="4" spans="1:21" ht="20.100000000000001" customHeight="1" x14ac:dyDescent="0.2">
      <c r="A4" s="68" t="s">
        <v>224</v>
      </c>
      <c r="L4" s="148"/>
      <c r="M4" s="151"/>
    </row>
    <row r="5" spans="1:21" ht="15" customHeight="1" thickBot="1" x14ac:dyDescent="0.25">
      <c r="A5" s="68"/>
      <c r="N5" s="151" t="s">
        <v>0</v>
      </c>
    </row>
    <row r="6" spans="1:21" s="152" customFormat="1" ht="15.95" customHeight="1" x14ac:dyDescent="0.2">
      <c r="A6" s="1286" t="s">
        <v>88</v>
      </c>
      <c r="B6" s="1298" t="s">
        <v>103</v>
      </c>
      <c r="C6" s="1299"/>
      <c r="D6" s="1288" t="s">
        <v>283</v>
      </c>
      <c r="E6" s="1289"/>
      <c r="F6" s="1288" t="s">
        <v>390</v>
      </c>
      <c r="G6" s="1290"/>
      <c r="H6" s="1289"/>
      <c r="I6" s="1291" t="s">
        <v>484</v>
      </c>
      <c r="J6" s="1292"/>
      <c r="K6" s="1292"/>
      <c r="L6" s="1293"/>
      <c r="M6" s="1294" t="s">
        <v>485</v>
      </c>
      <c r="N6" s="1296" t="s">
        <v>489</v>
      </c>
    </row>
    <row r="7" spans="1:21" s="152" customFormat="1" ht="27" customHeight="1" thickBot="1" x14ac:dyDescent="0.25">
      <c r="A7" s="1287"/>
      <c r="B7" s="1300"/>
      <c r="C7" s="1301"/>
      <c r="D7" s="179" t="s">
        <v>108</v>
      </c>
      <c r="E7" s="180" t="s">
        <v>127</v>
      </c>
      <c r="F7" s="267" t="s">
        <v>109</v>
      </c>
      <c r="G7" s="268" t="s">
        <v>586</v>
      </c>
      <c r="H7" s="269" t="s">
        <v>587</v>
      </c>
      <c r="I7" s="892" t="s">
        <v>125</v>
      </c>
      <c r="J7" s="893" t="s">
        <v>126</v>
      </c>
      <c r="K7" s="894" t="s">
        <v>331</v>
      </c>
      <c r="L7" s="889" t="s">
        <v>85</v>
      </c>
      <c r="M7" s="1295"/>
      <c r="N7" s="1297"/>
    </row>
    <row r="8" spans="1:21" s="69" customFormat="1" ht="20.100000000000001" customHeight="1" thickBot="1" x14ac:dyDescent="0.25">
      <c r="B8" s="153" t="s">
        <v>104</v>
      </c>
      <c r="C8" s="153"/>
      <c r="D8" s="154"/>
      <c r="E8" s="155"/>
      <c r="F8" s="154"/>
      <c r="G8" s="156"/>
      <c r="H8" s="156"/>
      <c r="I8" s="156"/>
      <c r="J8" s="156"/>
      <c r="K8" s="156"/>
      <c r="L8" s="890"/>
      <c r="M8" s="158"/>
      <c r="N8" s="158"/>
    </row>
    <row r="9" spans="1:21" s="70" customFormat="1" ht="20.100000000000001" customHeight="1" x14ac:dyDescent="0.2">
      <c r="A9" s="839">
        <v>2212</v>
      </c>
      <c r="B9" s="1338" t="s">
        <v>112</v>
      </c>
      <c r="C9" s="1339"/>
      <c r="D9" s="489">
        <v>7121</v>
      </c>
      <c r="E9" s="454">
        <v>2610.7800000000002</v>
      </c>
      <c r="F9" s="489">
        <v>7966</v>
      </c>
      <c r="G9" s="488">
        <v>9466</v>
      </c>
      <c r="H9" s="516">
        <v>2769.18</v>
      </c>
      <c r="I9" s="453">
        <v>9050</v>
      </c>
      <c r="J9" s="540">
        <v>0</v>
      </c>
      <c r="K9" s="1157">
        <v>1000</v>
      </c>
      <c r="L9" s="904">
        <f t="shared" ref="L9:L19" si="0">SUM(I9:K9)</f>
        <v>10050</v>
      </c>
      <c r="M9" s="458">
        <f>L9/F9*100</f>
        <v>126.16118503640472</v>
      </c>
      <c r="N9" s="459">
        <f>L9/G9*100</f>
        <v>106.16944855271497</v>
      </c>
      <c r="O9" s="461"/>
      <c r="P9" s="461"/>
      <c r="Q9" s="461"/>
      <c r="R9" s="461"/>
      <c r="S9" s="461"/>
      <c r="T9" s="461"/>
      <c r="U9" s="461"/>
    </row>
    <row r="10" spans="1:21" s="487" customFormat="1" ht="45.95" customHeight="1" x14ac:dyDescent="0.2">
      <c r="A10" s="1335">
        <v>2212</v>
      </c>
      <c r="B10" s="1325" t="s">
        <v>225</v>
      </c>
      <c r="C10" s="1329"/>
      <c r="D10" s="462">
        <f t="shared" ref="D10:K10" si="1">SUM(D11:D16)</f>
        <v>1706731</v>
      </c>
      <c r="E10" s="463">
        <f t="shared" si="1"/>
        <v>1938528.9400000002</v>
      </c>
      <c r="F10" s="530">
        <f t="shared" si="1"/>
        <v>2076927</v>
      </c>
      <c r="G10" s="465">
        <f t="shared" si="1"/>
        <v>2638927</v>
      </c>
      <c r="H10" s="470">
        <f t="shared" si="1"/>
        <v>2172602.5499999998</v>
      </c>
      <c r="I10" s="462">
        <f t="shared" si="1"/>
        <v>2595532</v>
      </c>
      <c r="J10" s="464">
        <f t="shared" si="1"/>
        <v>227483</v>
      </c>
      <c r="K10" s="1158">
        <f t="shared" si="1"/>
        <v>7742</v>
      </c>
      <c r="L10" s="1065">
        <f>SUM(I10:K10)</f>
        <v>2830757</v>
      </c>
      <c r="M10" s="476">
        <f t="shared" ref="M10:M19" si="2">L10/F10*100</f>
        <v>136.29544996044638</v>
      </c>
      <c r="N10" s="477">
        <f t="shared" ref="N10:N19" si="3">L10/G10*100</f>
        <v>107.26924238525734</v>
      </c>
    </row>
    <row r="11" spans="1:21" ht="15" customHeight="1" x14ac:dyDescent="0.2">
      <c r="A11" s="1336"/>
      <c r="B11" s="1330" t="s">
        <v>96</v>
      </c>
      <c r="C11" s="594" t="s">
        <v>138</v>
      </c>
      <c r="D11" s="83">
        <v>127093</v>
      </c>
      <c r="E11" s="89">
        <v>130696.59</v>
      </c>
      <c r="F11" s="83">
        <v>129640</v>
      </c>
      <c r="G11" s="788">
        <v>129640</v>
      </c>
      <c r="H11" s="348">
        <v>97232.5</v>
      </c>
      <c r="I11" s="80">
        <v>130940</v>
      </c>
      <c r="J11" s="1069">
        <v>0</v>
      </c>
      <c r="K11" s="1159">
        <v>0</v>
      </c>
      <c r="L11" s="1071">
        <f t="shared" si="0"/>
        <v>130940</v>
      </c>
      <c r="M11" s="78">
        <f t="shared" si="2"/>
        <v>101.0027769207035</v>
      </c>
      <c r="N11" s="79">
        <f t="shared" si="3"/>
        <v>101.0027769207035</v>
      </c>
    </row>
    <row r="12" spans="1:21" s="102" customFormat="1" ht="15" customHeight="1" x14ac:dyDescent="0.2">
      <c r="A12" s="1336"/>
      <c r="B12" s="1331"/>
      <c r="C12" s="594" t="s">
        <v>401</v>
      </c>
      <c r="D12" s="83">
        <v>127700</v>
      </c>
      <c r="E12" s="98">
        <v>130214</v>
      </c>
      <c r="F12" s="83">
        <v>137363</v>
      </c>
      <c r="G12" s="367">
        <v>147363</v>
      </c>
      <c r="H12" s="125">
        <v>109022</v>
      </c>
      <c r="I12" s="80">
        <v>131612</v>
      </c>
      <c r="J12" s="1069">
        <v>15483</v>
      </c>
      <c r="K12" s="1159">
        <v>7742</v>
      </c>
      <c r="L12" s="1071">
        <f>SUM(I12:K12)</f>
        <v>154837</v>
      </c>
      <c r="M12" s="78">
        <f>L12/F12*100</f>
        <v>112.72103841645857</v>
      </c>
      <c r="N12" s="79">
        <f>L12/G12*100</f>
        <v>105.0718294280111</v>
      </c>
      <c r="O12" s="173"/>
      <c r="P12" s="173"/>
      <c r="Q12" s="173"/>
    </row>
    <row r="13" spans="1:21" s="102" customFormat="1" ht="15" customHeight="1" x14ac:dyDescent="0.2">
      <c r="A13" s="1336"/>
      <c r="B13" s="1331"/>
      <c r="C13" s="594" t="s">
        <v>139</v>
      </c>
      <c r="D13" s="83">
        <v>1351938</v>
      </c>
      <c r="E13" s="98">
        <v>1352618.35</v>
      </c>
      <c r="F13" s="83">
        <v>1446574</v>
      </c>
      <c r="G13" s="367">
        <v>1446574</v>
      </c>
      <c r="H13" s="125">
        <v>1104588.05</v>
      </c>
      <c r="I13" s="80">
        <f>1458630+60000</f>
        <v>1518630</v>
      </c>
      <c r="J13" s="1069">
        <v>10000</v>
      </c>
      <c r="K13" s="1159">
        <v>0</v>
      </c>
      <c r="L13" s="1071">
        <f t="shared" si="0"/>
        <v>1528630</v>
      </c>
      <c r="M13" s="78">
        <f t="shared" ref="M13:M16" si="4">L13/F13*100</f>
        <v>105.67243708237532</v>
      </c>
      <c r="N13" s="79">
        <f t="shared" ref="N13:N16" si="5">L13/G13*100</f>
        <v>105.67243708237532</v>
      </c>
    </row>
    <row r="14" spans="1:21" s="102" customFormat="1" ht="15" customHeight="1" x14ac:dyDescent="0.2">
      <c r="A14" s="1336"/>
      <c r="B14" s="1331"/>
      <c r="C14" s="669" t="s">
        <v>453</v>
      </c>
      <c r="D14" s="83" t="s">
        <v>60</v>
      </c>
      <c r="E14" s="82" t="s">
        <v>60</v>
      </c>
      <c r="F14" s="83">
        <v>6350</v>
      </c>
      <c r="G14" s="431">
        <v>6350</v>
      </c>
      <c r="H14" s="95">
        <v>4760</v>
      </c>
      <c r="I14" s="80">
        <v>4350</v>
      </c>
      <c r="J14" s="1069">
        <v>0</v>
      </c>
      <c r="K14" s="1159">
        <v>0</v>
      </c>
      <c r="L14" s="1071">
        <f t="shared" ref="L14" si="6">SUM(I14:K14)</f>
        <v>4350</v>
      </c>
      <c r="M14" s="78">
        <f>L14/F14*100</f>
        <v>68.503937007874015</v>
      </c>
      <c r="N14" s="79">
        <f>L14/G14*100</f>
        <v>68.503937007874015</v>
      </c>
    </row>
    <row r="15" spans="1:21" s="102" customFormat="1" ht="15.75" customHeight="1" x14ac:dyDescent="0.2">
      <c r="A15" s="1336"/>
      <c r="B15" s="1331"/>
      <c r="C15" s="594" t="s">
        <v>383</v>
      </c>
      <c r="D15" s="83">
        <v>75000</v>
      </c>
      <c r="E15" s="98">
        <v>275000</v>
      </c>
      <c r="F15" s="83">
        <v>330250</v>
      </c>
      <c r="G15" s="367">
        <v>882250</v>
      </c>
      <c r="H15" s="125">
        <v>830250</v>
      </c>
      <c r="I15" s="80">
        <f>331000+469000</f>
        <v>800000</v>
      </c>
      <c r="J15" s="1069">
        <v>200000</v>
      </c>
      <c r="K15" s="1159">
        <v>0</v>
      </c>
      <c r="L15" s="1071">
        <f>SUM(I15:K15)</f>
        <v>1000000</v>
      </c>
      <c r="M15" s="78">
        <f t="shared" si="4"/>
        <v>302.80090840272521</v>
      </c>
      <c r="N15" s="79">
        <f t="shared" si="5"/>
        <v>113.34655709832815</v>
      </c>
      <c r="O15" s="166"/>
    </row>
    <row r="16" spans="1:21" s="102" customFormat="1" ht="27" customHeight="1" x14ac:dyDescent="0.2">
      <c r="A16" s="1337"/>
      <c r="B16" s="1332"/>
      <c r="C16" s="594" t="s">
        <v>320</v>
      </c>
      <c r="D16" s="83">
        <v>25000</v>
      </c>
      <c r="E16" s="98">
        <v>50000</v>
      </c>
      <c r="F16" s="83">
        <v>26750</v>
      </c>
      <c r="G16" s="367">
        <v>26750</v>
      </c>
      <c r="H16" s="125">
        <v>26750</v>
      </c>
      <c r="I16" s="80">
        <v>10000</v>
      </c>
      <c r="J16" s="1069">
        <v>2000</v>
      </c>
      <c r="K16" s="1159">
        <v>0</v>
      </c>
      <c r="L16" s="1071">
        <f>SUM(I16:K16)</f>
        <v>12000</v>
      </c>
      <c r="M16" s="78">
        <f t="shared" si="4"/>
        <v>44.859813084112147</v>
      </c>
      <c r="N16" s="79">
        <f t="shared" si="5"/>
        <v>44.859813084112147</v>
      </c>
    </row>
    <row r="17" spans="1:14" s="70" customFormat="1" ht="20.100000000000001" customHeight="1" x14ac:dyDescent="0.2">
      <c r="A17" s="513">
        <v>2223</v>
      </c>
      <c r="B17" s="1333" t="s">
        <v>196</v>
      </c>
      <c r="C17" s="1334"/>
      <c r="D17" s="494">
        <v>4335</v>
      </c>
      <c r="E17" s="518">
        <v>3330.56</v>
      </c>
      <c r="F17" s="530">
        <v>5415</v>
      </c>
      <c r="G17" s="789">
        <v>8382.6200000000008</v>
      </c>
      <c r="H17" s="520">
        <v>2123.0100000000002</v>
      </c>
      <c r="I17" s="462">
        <v>4415</v>
      </c>
      <c r="J17" s="464">
        <v>0</v>
      </c>
      <c r="K17" s="1158">
        <v>1000</v>
      </c>
      <c r="L17" s="1065">
        <f t="shared" si="0"/>
        <v>5415</v>
      </c>
      <c r="M17" s="476">
        <f t="shared" si="2"/>
        <v>100</v>
      </c>
      <c r="N17" s="477">
        <f t="shared" si="3"/>
        <v>64.597941932235983</v>
      </c>
    </row>
    <row r="18" spans="1:14" s="487" customFormat="1" ht="20.100000000000001" customHeight="1" x14ac:dyDescent="0.2">
      <c r="A18" s="513">
        <v>2299</v>
      </c>
      <c r="B18" s="1325" t="s">
        <v>114</v>
      </c>
      <c r="C18" s="1326"/>
      <c r="D18" s="471">
        <v>1300</v>
      </c>
      <c r="E18" s="472">
        <v>0.64</v>
      </c>
      <c r="F18" s="530">
        <v>700</v>
      </c>
      <c r="G18" s="789">
        <v>700</v>
      </c>
      <c r="H18" s="520">
        <v>4.24</v>
      </c>
      <c r="I18" s="471">
        <v>700</v>
      </c>
      <c r="J18" s="543">
        <v>0</v>
      </c>
      <c r="K18" s="1160">
        <v>0</v>
      </c>
      <c r="L18" s="1065">
        <f t="shared" si="0"/>
        <v>700</v>
      </c>
      <c r="M18" s="476">
        <f t="shared" si="2"/>
        <v>100</v>
      </c>
      <c r="N18" s="477">
        <f t="shared" si="3"/>
        <v>100</v>
      </c>
    </row>
    <row r="19" spans="1:14" s="487" customFormat="1" ht="20.100000000000001" customHeight="1" thickBot="1" x14ac:dyDescent="0.25">
      <c r="A19" s="514">
        <v>6172</v>
      </c>
      <c r="B19" s="1327" t="s">
        <v>105</v>
      </c>
      <c r="C19" s="1328"/>
      <c r="D19" s="498">
        <v>778</v>
      </c>
      <c r="E19" s="523">
        <v>223.69</v>
      </c>
      <c r="F19" s="787">
        <v>400</v>
      </c>
      <c r="G19" s="789">
        <v>600</v>
      </c>
      <c r="H19" s="522">
        <v>90.95</v>
      </c>
      <c r="I19" s="498">
        <v>300</v>
      </c>
      <c r="J19" s="1161">
        <v>100</v>
      </c>
      <c r="K19" s="1162">
        <v>0</v>
      </c>
      <c r="L19" s="1065">
        <f t="shared" si="0"/>
        <v>400</v>
      </c>
      <c r="M19" s="476">
        <f t="shared" si="2"/>
        <v>100</v>
      </c>
      <c r="N19" s="477">
        <f t="shared" si="3"/>
        <v>66.666666666666657</v>
      </c>
    </row>
    <row r="20" spans="1:14" ht="20.100000000000001" customHeight="1" thickBot="1" x14ac:dyDescent="0.25">
      <c r="A20" s="188"/>
      <c r="B20" s="1308" t="s">
        <v>85</v>
      </c>
      <c r="C20" s="1309"/>
      <c r="D20" s="183">
        <f>+D9+D10+D17+D18+D19</f>
        <v>1720265</v>
      </c>
      <c r="E20" s="184">
        <f>+E9+E10+E17+E18+E19</f>
        <v>1944694.61</v>
      </c>
      <c r="F20" s="183">
        <f>+F9+F10+F17+F18+F19</f>
        <v>2091408</v>
      </c>
      <c r="G20" s="185">
        <f>+G9+G10+G17+G18+G19</f>
        <v>2658075.62</v>
      </c>
      <c r="H20" s="184">
        <f>+H9+H10+H17+H18+H19</f>
        <v>2177589.9300000002</v>
      </c>
      <c r="I20" s="183">
        <f t="shared" ref="I20:L20" si="7">+I9+I10+I17+I18+I19</f>
        <v>2609997</v>
      </c>
      <c r="J20" s="982">
        <f t="shared" si="7"/>
        <v>227583</v>
      </c>
      <c r="K20" s="193">
        <f t="shared" si="7"/>
        <v>9742</v>
      </c>
      <c r="L20" s="1067">
        <f t="shared" si="7"/>
        <v>2847322</v>
      </c>
      <c r="M20" s="186">
        <f>L20/F20*100</f>
        <v>136.14378447438281</v>
      </c>
      <c r="N20" s="187">
        <f>L20/G20*100</f>
        <v>107.11967630175998</v>
      </c>
    </row>
    <row r="21" spans="1:14" ht="15" customHeight="1" x14ac:dyDescent="0.2">
      <c r="A21" s="70"/>
      <c r="B21" s="70"/>
      <c r="C21" s="70"/>
      <c r="D21" s="166"/>
      <c r="E21" s="173"/>
      <c r="F21" s="166"/>
      <c r="G21" s="174"/>
      <c r="H21" s="174"/>
      <c r="I21" s="695"/>
      <c r="J21" s="695"/>
      <c r="K21" s="695"/>
      <c r="L21" s="695"/>
      <c r="M21" s="161"/>
      <c r="N21" s="124"/>
    </row>
    <row r="22" spans="1:14" x14ac:dyDescent="0.2">
      <c r="D22" s="148"/>
      <c r="F22" s="148"/>
      <c r="L22" s="148"/>
      <c r="N22" s="67"/>
    </row>
    <row r="23" spans="1:14" x14ac:dyDescent="0.2">
      <c r="L23" s="891"/>
      <c r="N23" s="67"/>
    </row>
  </sheetData>
  <mergeCells count="16">
    <mergeCell ref="A10:A16"/>
    <mergeCell ref="A2:N2"/>
    <mergeCell ref="M6:M7"/>
    <mergeCell ref="N6:N7"/>
    <mergeCell ref="A6:A7"/>
    <mergeCell ref="D6:E6"/>
    <mergeCell ref="F6:H6"/>
    <mergeCell ref="I6:L6"/>
    <mergeCell ref="B6:C7"/>
    <mergeCell ref="B9:C9"/>
    <mergeCell ref="B18:C18"/>
    <mergeCell ref="B19:C19"/>
    <mergeCell ref="B20:C20"/>
    <mergeCell ref="B10:C10"/>
    <mergeCell ref="B11:B16"/>
    <mergeCell ref="B17:C17"/>
  </mergeCells>
  <printOptions horizontalCentered="1"/>
  <pageMargins left="0.59055118110236227" right="0.59055118110236227" top="0.78740157480314965" bottom="0.78740157480314965" header="0.59055118110236227" footer="0.59055118110236227"/>
  <pageSetup paperSize="9" scale="64"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117"/>
  <sheetViews>
    <sheetView zoomScaleNormal="100" workbookViewId="0"/>
  </sheetViews>
  <sheetFormatPr defaultColWidth="9.140625" defaultRowHeight="12.75" x14ac:dyDescent="0.2"/>
  <cols>
    <col min="1" max="1" width="7.7109375" style="349" customWidth="1"/>
    <col min="2" max="2" width="6.7109375" style="67" customWidth="1"/>
    <col min="3" max="3" width="41.5703125" style="67" customWidth="1"/>
    <col min="4" max="4" width="14.7109375" style="72" customWidth="1"/>
    <col min="5" max="5" width="14.7109375" style="148" customWidth="1"/>
    <col min="6" max="6" width="14.7109375" style="72" customWidth="1"/>
    <col min="7" max="9" width="14.7109375" style="148" customWidth="1"/>
    <col min="10" max="10" width="15.28515625" style="148" customWidth="1"/>
    <col min="11" max="11" width="14.7109375" style="148" customWidth="1"/>
    <col min="12" max="12" width="14.7109375" style="693" customWidth="1"/>
    <col min="13" max="14" width="9.7109375" style="149" customWidth="1"/>
    <col min="15" max="15" width="10" style="67" bestFit="1" customWidth="1"/>
    <col min="16" max="16384" width="9.140625" style="67"/>
  </cols>
  <sheetData>
    <row r="1" spans="1:23" ht="15" customHeight="1" x14ac:dyDescent="0.2">
      <c r="N1" s="150"/>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row r="4" spans="1:23" ht="20.100000000000001" customHeight="1" x14ac:dyDescent="0.2">
      <c r="A4" s="403" t="s">
        <v>128</v>
      </c>
      <c r="M4" s="341"/>
    </row>
    <row r="5" spans="1:23" ht="15" customHeight="1" thickBot="1" x14ac:dyDescent="0.25">
      <c r="A5" s="404"/>
      <c r="D5" s="405"/>
      <c r="H5" s="406"/>
      <c r="K5" s="406"/>
      <c r="N5" s="341" t="s">
        <v>0</v>
      </c>
    </row>
    <row r="6" spans="1:23" s="152" customFormat="1" ht="15.95" customHeight="1" x14ac:dyDescent="0.2">
      <c r="A6" s="1286" t="s">
        <v>88</v>
      </c>
      <c r="B6" s="1298" t="s">
        <v>103</v>
      </c>
      <c r="C6" s="1299"/>
      <c r="D6" s="1288" t="s">
        <v>283</v>
      </c>
      <c r="E6" s="1289"/>
      <c r="F6" s="1288" t="s">
        <v>390</v>
      </c>
      <c r="G6" s="1290"/>
      <c r="H6" s="1289"/>
      <c r="I6" s="1291" t="s">
        <v>484</v>
      </c>
      <c r="J6" s="1292"/>
      <c r="K6" s="1292"/>
      <c r="L6" s="1293"/>
      <c r="M6" s="1294" t="s">
        <v>485</v>
      </c>
      <c r="N6" s="1296" t="s">
        <v>489</v>
      </c>
    </row>
    <row r="7" spans="1:23" s="152" customFormat="1" ht="27" customHeight="1" thickBot="1" x14ac:dyDescent="0.25">
      <c r="A7" s="1287"/>
      <c r="B7" s="1300"/>
      <c r="C7" s="1301"/>
      <c r="D7" s="179" t="s">
        <v>108</v>
      </c>
      <c r="E7" s="180" t="s">
        <v>127</v>
      </c>
      <c r="F7" s="267" t="s">
        <v>109</v>
      </c>
      <c r="G7" s="268" t="s">
        <v>586</v>
      </c>
      <c r="H7" s="269" t="s">
        <v>587</v>
      </c>
      <c r="I7" s="892" t="s">
        <v>125</v>
      </c>
      <c r="J7" s="893" t="s">
        <v>126</v>
      </c>
      <c r="K7" s="894" t="s">
        <v>331</v>
      </c>
      <c r="L7" s="889" t="s">
        <v>85</v>
      </c>
      <c r="M7" s="1295"/>
      <c r="N7" s="1297"/>
    </row>
    <row r="8" spans="1:23" s="69" customFormat="1" ht="20.100000000000001" customHeight="1" thickBot="1" x14ac:dyDescent="0.25">
      <c r="A8" s="407"/>
      <c r="B8" s="408" t="s">
        <v>104</v>
      </c>
      <c r="C8" s="342"/>
      <c r="D8" s="343"/>
      <c r="E8" s="344"/>
      <c r="F8" s="343"/>
      <c r="G8" s="156"/>
      <c r="H8" s="156"/>
      <c r="I8" s="156"/>
      <c r="J8" s="156"/>
      <c r="K8" s="156"/>
      <c r="L8" s="890"/>
      <c r="M8" s="158"/>
      <c r="N8" s="158"/>
    </row>
    <row r="9" spans="1:23" s="70" customFormat="1" ht="29.25" customHeight="1" x14ac:dyDescent="0.2">
      <c r="A9" s="1351" t="s">
        <v>466</v>
      </c>
      <c r="B9" s="1352"/>
      <c r="C9" s="1305"/>
      <c r="D9" s="455">
        <f t="shared" ref="D9" si="0">SUM(D10:D21)</f>
        <v>531391</v>
      </c>
      <c r="E9" s="454">
        <f>SUM(E10:E21)</f>
        <v>806403.57</v>
      </c>
      <c r="F9" s="455">
        <f t="shared" ref="F9:K9" si="1">SUM(F10:F21)</f>
        <v>408146</v>
      </c>
      <c r="G9" s="456">
        <f t="shared" si="1"/>
        <v>417183.84999999992</v>
      </c>
      <c r="H9" s="457">
        <f t="shared" si="1"/>
        <v>331418.52999999997</v>
      </c>
      <c r="I9" s="489">
        <f t="shared" si="1"/>
        <v>415414</v>
      </c>
      <c r="J9" s="455">
        <f t="shared" si="1"/>
        <v>40686</v>
      </c>
      <c r="K9" s="1077">
        <f t="shared" si="1"/>
        <v>0</v>
      </c>
      <c r="L9" s="904">
        <f>SUM(I9:K9)</f>
        <v>456100</v>
      </c>
      <c r="M9" s="633">
        <f>L9/F9*100</f>
        <v>111.74922699230177</v>
      </c>
      <c r="N9" s="634">
        <f>L9/G9*100</f>
        <v>109.3282973442045</v>
      </c>
      <c r="O9" s="936"/>
      <c r="P9" s="461"/>
      <c r="Q9" s="460"/>
      <c r="R9" s="460"/>
      <c r="S9" s="461"/>
      <c r="T9" s="461"/>
      <c r="U9" s="461"/>
      <c r="V9" s="461"/>
    </row>
    <row r="10" spans="1:23" ht="30" customHeight="1" x14ac:dyDescent="0.2">
      <c r="A10" s="603">
        <v>3112</v>
      </c>
      <c r="B10" s="1340" t="s">
        <v>129</v>
      </c>
      <c r="C10" s="1341"/>
      <c r="D10" s="432">
        <v>2297</v>
      </c>
      <c r="E10" s="121">
        <v>2597.34</v>
      </c>
      <c r="F10" s="432">
        <v>2672</v>
      </c>
      <c r="G10" s="451">
        <v>1652</v>
      </c>
      <c r="H10" s="953">
        <v>1358.2</v>
      </c>
      <c r="I10" s="654">
        <v>1503</v>
      </c>
      <c r="J10" s="984">
        <v>149</v>
      </c>
      <c r="K10" s="984">
        <v>0</v>
      </c>
      <c r="L10" s="1110">
        <f t="shared" ref="L10:L87" si="2">SUM(I10:K10)</f>
        <v>1652</v>
      </c>
      <c r="M10" s="635">
        <f t="shared" ref="M10:M88" si="3">L10/F10*100</f>
        <v>61.82634730538922</v>
      </c>
      <c r="N10" s="636">
        <f t="shared" ref="N10:N88" si="4">L10/G10*100</f>
        <v>100</v>
      </c>
      <c r="O10" s="936"/>
      <c r="P10" s="86"/>
      <c r="Q10" s="85"/>
      <c r="R10" s="85"/>
      <c r="S10" s="86"/>
      <c r="T10" s="86"/>
      <c r="U10" s="86"/>
      <c r="V10" s="86"/>
    </row>
    <row r="11" spans="1:23" ht="30" customHeight="1" x14ac:dyDescent="0.2">
      <c r="A11" s="603">
        <v>3114</v>
      </c>
      <c r="B11" s="1340" t="s">
        <v>130</v>
      </c>
      <c r="C11" s="1341"/>
      <c r="D11" s="432">
        <v>43618</v>
      </c>
      <c r="E11" s="121">
        <v>61648.07</v>
      </c>
      <c r="F11" s="432">
        <v>40697</v>
      </c>
      <c r="G11" s="451">
        <v>36359.949999999997</v>
      </c>
      <c r="H11" s="953">
        <v>29682.2</v>
      </c>
      <c r="I11" s="654">
        <v>32612</v>
      </c>
      <c r="J11" s="984">
        <v>3225</v>
      </c>
      <c r="K11" s="984">
        <v>0</v>
      </c>
      <c r="L11" s="1110">
        <f t="shared" si="2"/>
        <v>35837</v>
      </c>
      <c r="M11" s="635">
        <f t="shared" si="3"/>
        <v>88.058087819741019</v>
      </c>
      <c r="N11" s="636">
        <f t="shared" si="4"/>
        <v>98.561741696564496</v>
      </c>
      <c r="O11" s="936"/>
      <c r="P11" s="72"/>
      <c r="Q11" s="85"/>
      <c r="R11" s="85"/>
      <c r="S11" s="86"/>
      <c r="T11" s="86"/>
      <c r="U11" s="86"/>
      <c r="V11" s="86"/>
      <c r="W11" s="86"/>
    </row>
    <row r="12" spans="1:23" ht="20.100000000000001" customHeight="1" x14ac:dyDescent="0.2">
      <c r="A12" s="603">
        <v>3121</v>
      </c>
      <c r="B12" s="1340" t="s">
        <v>116</v>
      </c>
      <c r="C12" s="1341"/>
      <c r="D12" s="432">
        <v>78717</v>
      </c>
      <c r="E12" s="121">
        <v>120086.06</v>
      </c>
      <c r="F12" s="432">
        <v>58788</v>
      </c>
      <c r="G12" s="451">
        <v>68082.95</v>
      </c>
      <c r="H12" s="953">
        <v>55114.7</v>
      </c>
      <c r="I12" s="654">
        <v>61396</v>
      </c>
      <c r="J12" s="984">
        <v>6072</v>
      </c>
      <c r="K12" s="984">
        <v>0</v>
      </c>
      <c r="L12" s="1110">
        <f t="shared" si="2"/>
        <v>67468</v>
      </c>
      <c r="M12" s="635">
        <f t="shared" si="3"/>
        <v>114.76491801047833</v>
      </c>
      <c r="N12" s="636">
        <f t="shared" si="4"/>
        <v>99.096763580309016</v>
      </c>
      <c r="O12" s="936"/>
      <c r="P12" s="72"/>
      <c r="Q12" s="85"/>
      <c r="R12" s="85"/>
      <c r="S12" s="86"/>
      <c r="T12" s="86"/>
      <c r="U12" s="86"/>
      <c r="V12" s="86"/>
      <c r="W12" s="86"/>
    </row>
    <row r="13" spans="1:23" ht="20.100000000000001" customHeight="1" x14ac:dyDescent="0.2">
      <c r="A13" s="603">
        <v>3122</v>
      </c>
      <c r="B13" s="1340" t="s">
        <v>117</v>
      </c>
      <c r="C13" s="1341"/>
      <c r="D13" s="432">
        <v>140370</v>
      </c>
      <c r="E13" s="121">
        <v>259286.9</v>
      </c>
      <c r="F13" s="432">
        <v>88644</v>
      </c>
      <c r="G13" s="451">
        <v>107541.16</v>
      </c>
      <c r="H13" s="953">
        <v>87350.720000000001</v>
      </c>
      <c r="I13" s="654">
        <v>98002</v>
      </c>
      <c r="J13" s="984">
        <v>9693</v>
      </c>
      <c r="K13" s="984">
        <v>0</v>
      </c>
      <c r="L13" s="1110">
        <f t="shared" si="2"/>
        <v>107695</v>
      </c>
      <c r="M13" s="635">
        <f t="shared" si="3"/>
        <v>121.49158431478723</v>
      </c>
      <c r="N13" s="636">
        <f t="shared" si="4"/>
        <v>100.14305220438389</v>
      </c>
      <c r="O13" s="936"/>
      <c r="P13" s="72"/>
      <c r="Q13" s="85"/>
      <c r="R13" s="85"/>
      <c r="S13" s="86"/>
      <c r="T13" s="86"/>
      <c r="U13" s="86"/>
      <c r="V13" s="86"/>
      <c r="W13" s="86"/>
    </row>
    <row r="14" spans="1:23" ht="30" customHeight="1" x14ac:dyDescent="0.2">
      <c r="A14" s="603">
        <v>3123</v>
      </c>
      <c r="B14" s="1340" t="s">
        <v>131</v>
      </c>
      <c r="C14" s="1341"/>
      <c r="D14" s="432">
        <v>173430</v>
      </c>
      <c r="E14" s="121">
        <v>269429.3</v>
      </c>
      <c r="F14" s="432">
        <v>113062</v>
      </c>
      <c r="G14" s="814">
        <v>139602.26</v>
      </c>
      <c r="H14" s="953">
        <v>110567.92</v>
      </c>
      <c r="I14" s="654">
        <v>123091</v>
      </c>
      <c r="J14" s="984">
        <v>12174</v>
      </c>
      <c r="K14" s="984">
        <v>0</v>
      </c>
      <c r="L14" s="1110">
        <f t="shared" si="2"/>
        <v>135265</v>
      </c>
      <c r="M14" s="635">
        <f t="shared" si="3"/>
        <v>119.63789779059277</v>
      </c>
      <c r="N14" s="636">
        <f t="shared" si="4"/>
        <v>96.89313052668345</v>
      </c>
      <c r="O14" s="936"/>
      <c r="P14" s="72"/>
      <c r="Q14" s="85"/>
      <c r="R14" s="85"/>
      <c r="S14" s="86"/>
      <c r="T14" s="86"/>
      <c r="U14" s="86"/>
      <c r="V14" s="86"/>
      <c r="W14" s="86"/>
    </row>
    <row r="15" spans="1:23" ht="30" customHeight="1" x14ac:dyDescent="0.2">
      <c r="A15" s="603">
        <v>3125</v>
      </c>
      <c r="B15" s="1340" t="s">
        <v>254</v>
      </c>
      <c r="C15" s="1341"/>
      <c r="D15" s="432">
        <v>7389</v>
      </c>
      <c r="E15" s="121">
        <v>18523.89</v>
      </c>
      <c r="F15" s="432">
        <v>9043</v>
      </c>
      <c r="G15" s="814">
        <v>13154</v>
      </c>
      <c r="H15" s="953">
        <v>10858.6</v>
      </c>
      <c r="I15" s="654">
        <v>11970</v>
      </c>
      <c r="J15" s="984">
        <v>1184</v>
      </c>
      <c r="K15" s="984">
        <v>0</v>
      </c>
      <c r="L15" s="1110">
        <f t="shared" si="2"/>
        <v>13154</v>
      </c>
      <c r="M15" s="635">
        <f t="shared" si="3"/>
        <v>145.46057724206568</v>
      </c>
      <c r="N15" s="636">
        <f t="shared" si="4"/>
        <v>100</v>
      </c>
      <c r="O15" s="936"/>
      <c r="P15" s="72"/>
      <c r="Q15" s="85"/>
      <c r="R15" s="85"/>
      <c r="S15" s="86"/>
      <c r="T15" s="86"/>
      <c r="U15" s="86"/>
      <c r="V15" s="86"/>
      <c r="W15" s="86"/>
    </row>
    <row r="16" spans="1:23" ht="20.100000000000001" customHeight="1" x14ac:dyDescent="0.2">
      <c r="A16" s="603">
        <v>3133</v>
      </c>
      <c r="B16" s="1340" t="s">
        <v>118</v>
      </c>
      <c r="C16" s="1341"/>
      <c r="D16" s="432">
        <v>28933</v>
      </c>
      <c r="E16" s="121">
        <v>43142.879999999997</v>
      </c>
      <c r="F16" s="432">
        <v>30389</v>
      </c>
      <c r="G16" s="814">
        <v>32029.1</v>
      </c>
      <c r="H16" s="953">
        <v>26210.400000000001</v>
      </c>
      <c r="I16" s="654">
        <v>28904</v>
      </c>
      <c r="J16" s="984">
        <v>2859</v>
      </c>
      <c r="K16" s="984">
        <v>0</v>
      </c>
      <c r="L16" s="1110">
        <f t="shared" si="2"/>
        <v>31763</v>
      </c>
      <c r="M16" s="635">
        <f t="shared" si="3"/>
        <v>104.52137286518149</v>
      </c>
      <c r="N16" s="636">
        <f t="shared" si="4"/>
        <v>99.169193015101897</v>
      </c>
      <c r="O16" s="936"/>
      <c r="P16" s="72"/>
      <c r="Q16" s="85"/>
      <c r="R16" s="85"/>
      <c r="S16" s="86"/>
      <c r="T16" s="86"/>
      <c r="U16" s="86"/>
      <c r="V16" s="86"/>
      <c r="W16" s="86"/>
    </row>
    <row r="17" spans="1:23" ht="20.100000000000001" customHeight="1" x14ac:dyDescent="0.2">
      <c r="A17" s="603">
        <v>3146</v>
      </c>
      <c r="B17" s="1340" t="s">
        <v>132</v>
      </c>
      <c r="C17" s="1341"/>
      <c r="D17" s="432">
        <v>5109</v>
      </c>
      <c r="E17" s="121">
        <v>6840.45</v>
      </c>
      <c r="F17" s="432">
        <v>5600</v>
      </c>
      <c r="G17" s="814">
        <v>5163.6099999999997</v>
      </c>
      <c r="H17" s="953">
        <v>4146.5</v>
      </c>
      <c r="I17" s="654">
        <v>4551</v>
      </c>
      <c r="J17" s="984">
        <v>450</v>
      </c>
      <c r="K17" s="984">
        <v>0</v>
      </c>
      <c r="L17" s="1110">
        <f t="shared" si="2"/>
        <v>5001</v>
      </c>
      <c r="M17" s="635">
        <f t="shared" si="3"/>
        <v>89.303571428571431</v>
      </c>
      <c r="N17" s="636">
        <f t="shared" si="4"/>
        <v>96.850846597632284</v>
      </c>
      <c r="O17" s="936"/>
      <c r="P17" s="72"/>
      <c r="Q17" s="85"/>
      <c r="R17" s="85"/>
      <c r="S17" s="86"/>
      <c r="T17" s="86"/>
      <c r="U17" s="86"/>
      <c r="V17" s="86"/>
      <c r="W17" s="86"/>
    </row>
    <row r="18" spans="1:23" ht="20.100000000000001" customHeight="1" x14ac:dyDescent="0.2">
      <c r="A18" s="603">
        <v>3231</v>
      </c>
      <c r="B18" s="1340" t="s">
        <v>133</v>
      </c>
      <c r="C18" s="1341"/>
      <c r="D18" s="432">
        <v>592</v>
      </c>
      <c r="E18" s="121">
        <v>8849.93</v>
      </c>
      <c r="F18" s="432">
        <v>876</v>
      </c>
      <c r="G18" s="814">
        <v>2235.2199999999998</v>
      </c>
      <c r="H18" s="953">
        <v>1444.74</v>
      </c>
      <c r="I18" s="654">
        <v>2034</v>
      </c>
      <c r="J18" s="984">
        <v>201</v>
      </c>
      <c r="K18" s="984">
        <v>0</v>
      </c>
      <c r="L18" s="1110">
        <f t="shared" si="2"/>
        <v>2235</v>
      </c>
      <c r="M18" s="635">
        <f t="shared" si="3"/>
        <v>255.13698630136986</v>
      </c>
      <c r="N18" s="636">
        <f t="shared" si="4"/>
        <v>99.990157568382543</v>
      </c>
      <c r="O18" s="936"/>
      <c r="P18" s="72"/>
      <c r="Q18" s="85"/>
      <c r="R18" s="85"/>
      <c r="S18" s="86"/>
      <c r="T18" s="86"/>
      <c r="U18" s="86"/>
      <c r="V18" s="86"/>
      <c r="W18" s="86"/>
    </row>
    <row r="19" spans="1:23" ht="20.100000000000001" customHeight="1" x14ac:dyDescent="0.2">
      <c r="A19" s="603">
        <v>3269</v>
      </c>
      <c r="B19" s="1340" t="s">
        <v>134</v>
      </c>
      <c r="C19" s="1341"/>
      <c r="D19" s="432">
        <v>40967</v>
      </c>
      <c r="E19" s="121">
        <v>0</v>
      </c>
      <c r="F19" s="432">
        <v>49756</v>
      </c>
      <c r="G19" s="814">
        <v>5534.62</v>
      </c>
      <c r="H19" s="953">
        <v>6.05</v>
      </c>
      <c r="I19" s="654">
        <v>46120</v>
      </c>
      <c r="J19" s="984">
        <v>4162</v>
      </c>
      <c r="K19" s="984">
        <v>0</v>
      </c>
      <c r="L19" s="1110">
        <f t="shared" si="2"/>
        <v>50282</v>
      </c>
      <c r="M19" s="635">
        <f t="shared" si="3"/>
        <v>101.05715893560576</v>
      </c>
      <c r="N19" s="636">
        <f t="shared" si="4"/>
        <v>908.49958985440742</v>
      </c>
      <c r="O19" s="936"/>
      <c r="P19" s="72"/>
      <c r="Q19" s="85"/>
      <c r="R19" s="85"/>
      <c r="S19" s="86"/>
      <c r="T19" s="86"/>
      <c r="U19" s="86"/>
      <c r="V19" s="86"/>
      <c r="W19" s="86"/>
    </row>
    <row r="20" spans="1:23" ht="30" customHeight="1" x14ac:dyDescent="0.2">
      <c r="A20" s="603" t="s">
        <v>135</v>
      </c>
      <c r="B20" s="1340" t="s">
        <v>136</v>
      </c>
      <c r="C20" s="1341"/>
      <c r="D20" s="432">
        <v>4138</v>
      </c>
      <c r="E20" s="121">
        <v>6319.22</v>
      </c>
      <c r="F20" s="432">
        <v>4383</v>
      </c>
      <c r="G20" s="814">
        <v>5128.9799999999996</v>
      </c>
      <c r="H20" s="953">
        <v>4100.1000000000004</v>
      </c>
      <c r="I20" s="654">
        <v>4594</v>
      </c>
      <c r="J20" s="984">
        <v>454</v>
      </c>
      <c r="K20" s="984">
        <v>0</v>
      </c>
      <c r="L20" s="1110">
        <f t="shared" si="2"/>
        <v>5048</v>
      </c>
      <c r="M20" s="635">
        <f t="shared" si="3"/>
        <v>115.17225644535706</v>
      </c>
      <c r="N20" s="636">
        <f t="shared" si="4"/>
        <v>98.42112856747346</v>
      </c>
      <c r="O20" s="936"/>
      <c r="P20" s="72"/>
      <c r="Q20" s="85"/>
      <c r="R20" s="85"/>
      <c r="S20" s="86"/>
      <c r="T20" s="86"/>
      <c r="U20" s="86"/>
      <c r="V20" s="86"/>
      <c r="W20" s="86"/>
    </row>
    <row r="21" spans="1:23" ht="20.100000000000001" customHeight="1" x14ac:dyDescent="0.2">
      <c r="A21" s="603">
        <v>3421</v>
      </c>
      <c r="B21" s="1340" t="s">
        <v>137</v>
      </c>
      <c r="C21" s="1341"/>
      <c r="D21" s="432">
        <v>5831</v>
      </c>
      <c r="E21" s="121">
        <v>9679.5300000000007</v>
      </c>
      <c r="F21" s="432">
        <v>4236</v>
      </c>
      <c r="G21" s="119">
        <v>700</v>
      </c>
      <c r="H21" s="953">
        <v>578.4</v>
      </c>
      <c r="I21" s="654">
        <v>637</v>
      </c>
      <c r="J21" s="984">
        <v>63</v>
      </c>
      <c r="K21" s="984">
        <v>0</v>
      </c>
      <c r="L21" s="1110">
        <f t="shared" si="2"/>
        <v>700</v>
      </c>
      <c r="M21" s="635">
        <f t="shared" si="3"/>
        <v>16.525023607176582</v>
      </c>
      <c r="N21" s="636">
        <f t="shared" si="4"/>
        <v>100</v>
      </c>
      <c r="O21" s="936"/>
      <c r="P21" s="72"/>
      <c r="Q21" s="85"/>
      <c r="R21" s="85"/>
      <c r="S21" s="86"/>
      <c r="T21" s="86"/>
      <c r="U21" s="86"/>
      <c r="V21" s="86"/>
      <c r="W21" s="86"/>
    </row>
    <row r="22" spans="1:23" s="88" customFormat="1" ht="15" customHeight="1" x14ac:dyDescent="0.2">
      <c r="A22" s="1348" t="s">
        <v>96</v>
      </c>
      <c r="B22" s="1346" t="s">
        <v>138</v>
      </c>
      <c r="C22" s="1347"/>
      <c r="D22" s="433">
        <v>495391</v>
      </c>
      <c r="E22" s="98">
        <v>770406.56</v>
      </c>
      <c r="F22" s="433">
        <v>369146</v>
      </c>
      <c r="G22" s="81">
        <v>374123.86</v>
      </c>
      <c r="H22" s="126">
        <v>302168.53000000003</v>
      </c>
      <c r="I22" s="1132">
        <v>375414</v>
      </c>
      <c r="J22" s="906">
        <f>+J9-J23</f>
        <v>40686</v>
      </c>
      <c r="K22" s="906">
        <v>0</v>
      </c>
      <c r="L22" s="1071">
        <f t="shared" si="2"/>
        <v>416100</v>
      </c>
      <c r="M22" s="637">
        <f t="shared" si="3"/>
        <v>112.71962854805415</v>
      </c>
      <c r="N22" s="638">
        <f t="shared" si="4"/>
        <v>111.21985109423387</v>
      </c>
      <c r="O22" s="936"/>
      <c r="P22" s="87"/>
      <c r="Q22" s="87"/>
      <c r="R22" s="87"/>
      <c r="S22" s="87"/>
      <c r="T22" s="87"/>
      <c r="U22" s="87"/>
      <c r="V22" s="87"/>
    </row>
    <row r="23" spans="1:23" s="88" customFormat="1" ht="15" customHeight="1" x14ac:dyDescent="0.2">
      <c r="A23" s="1348"/>
      <c r="B23" s="1346" t="s">
        <v>401</v>
      </c>
      <c r="C23" s="1347"/>
      <c r="D23" s="433">
        <v>0</v>
      </c>
      <c r="E23" s="98">
        <v>0</v>
      </c>
      <c r="F23" s="433">
        <v>0</v>
      </c>
      <c r="G23" s="81">
        <v>0</v>
      </c>
      <c r="H23" s="82">
        <v>0</v>
      </c>
      <c r="I23" s="83">
        <v>0</v>
      </c>
      <c r="J23" s="906">
        <v>0</v>
      </c>
      <c r="K23" s="907">
        <v>0</v>
      </c>
      <c r="L23" s="1071">
        <f t="shared" si="2"/>
        <v>0</v>
      </c>
      <c r="M23" s="637" t="s">
        <v>60</v>
      </c>
      <c r="N23" s="638" t="s">
        <v>60</v>
      </c>
      <c r="O23" s="936"/>
      <c r="P23" s="87"/>
      <c r="Q23" s="87"/>
      <c r="R23" s="87"/>
      <c r="S23" s="87"/>
      <c r="T23" s="87"/>
      <c r="U23" s="87"/>
      <c r="V23" s="87"/>
    </row>
    <row r="24" spans="1:23" s="88" customFormat="1" ht="15" customHeight="1" x14ac:dyDescent="0.2">
      <c r="A24" s="1348"/>
      <c r="B24" s="1349" t="s">
        <v>139</v>
      </c>
      <c r="C24" s="1350"/>
      <c r="D24" s="433">
        <v>36000</v>
      </c>
      <c r="E24" s="98">
        <v>36000</v>
      </c>
      <c r="F24" s="433">
        <v>39000</v>
      </c>
      <c r="G24" s="81">
        <v>39000</v>
      </c>
      <c r="H24" s="95">
        <v>29250</v>
      </c>
      <c r="I24" s="83">
        <v>40000</v>
      </c>
      <c r="J24" s="906">
        <v>0</v>
      </c>
      <c r="K24" s="906">
        <v>0</v>
      </c>
      <c r="L24" s="1071">
        <f t="shared" si="2"/>
        <v>40000</v>
      </c>
      <c r="M24" s="951">
        <f t="shared" si="3"/>
        <v>102.56410256410255</v>
      </c>
      <c r="N24" s="952">
        <f t="shared" si="4"/>
        <v>102.56410256410255</v>
      </c>
      <c r="O24" s="936"/>
      <c r="P24" s="87"/>
      <c r="Q24" s="87"/>
      <c r="R24" s="87"/>
      <c r="S24" s="87"/>
      <c r="T24" s="87"/>
      <c r="U24" s="87"/>
      <c r="V24" s="87"/>
    </row>
    <row r="25" spans="1:23" s="70" customFormat="1" ht="20.100000000000001" customHeight="1" x14ac:dyDescent="0.2">
      <c r="A25" s="1342" t="s">
        <v>454</v>
      </c>
      <c r="B25" s="1343"/>
      <c r="C25" s="1303"/>
      <c r="D25" s="531" t="s">
        <v>60</v>
      </c>
      <c r="E25" s="855" t="s">
        <v>60</v>
      </c>
      <c r="F25" s="895">
        <f>SUM(F26:F37)</f>
        <v>377520</v>
      </c>
      <c r="G25" s="466">
        <f t="shared" ref="G25:H25" si="5">SUM(G26:G37)</f>
        <v>373498.83</v>
      </c>
      <c r="H25" s="467">
        <f t="shared" si="5"/>
        <v>295747.83</v>
      </c>
      <c r="I25" s="1046">
        <f>SUM(I26:I37)</f>
        <v>354199</v>
      </c>
      <c r="J25" s="531">
        <f t="shared" ref="J25:K25" si="6">SUM(J26:J37)</f>
        <v>0</v>
      </c>
      <c r="K25" s="1122">
        <f t="shared" si="6"/>
        <v>0</v>
      </c>
      <c r="L25" s="1076">
        <f>SUM(I25:K25)</f>
        <v>354199</v>
      </c>
      <c r="M25" s="641">
        <f>L25/F25*100</f>
        <v>93.822578936215294</v>
      </c>
      <c r="N25" s="642">
        <f>L25/G25*100</f>
        <v>94.83269331794159</v>
      </c>
      <c r="O25" s="936"/>
      <c r="P25" s="461"/>
      <c r="Q25" s="461"/>
      <c r="R25" s="461"/>
      <c r="S25" s="461"/>
      <c r="T25" s="461"/>
      <c r="U25" s="461"/>
      <c r="V25" s="461"/>
    </row>
    <row r="26" spans="1:23" s="88" customFormat="1" ht="30" customHeight="1" x14ac:dyDescent="0.2">
      <c r="A26" s="603">
        <v>3112</v>
      </c>
      <c r="B26" s="1340" t="s">
        <v>129</v>
      </c>
      <c r="C26" s="1341"/>
      <c r="D26" s="432" t="s">
        <v>60</v>
      </c>
      <c r="E26" s="854" t="s">
        <v>60</v>
      </c>
      <c r="F26" s="432">
        <v>727</v>
      </c>
      <c r="G26" s="985">
        <v>972</v>
      </c>
      <c r="H26" s="986">
        <v>785</v>
      </c>
      <c r="I26" s="1150">
        <v>972</v>
      </c>
      <c r="J26" s="1151">
        <v>0</v>
      </c>
      <c r="K26" s="1151">
        <v>0</v>
      </c>
      <c r="L26" s="1110">
        <f t="shared" ref="L26:L37" si="7">SUM(I26:K26)</f>
        <v>972</v>
      </c>
      <c r="M26" s="635">
        <f t="shared" ref="M26:M37" si="8">L26/F26*100</f>
        <v>133.70013755158183</v>
      </c>
      <c r="N26" s="636">
        <f t="shared" ref="N26:N37" si="9">L26/G26*100</f>
        <v>100</v>
      </c>
      <c r="O26" s="936"/>
      <c r="P26" s="87"/>
      <c r="Q26" s="87"/>
      <c r="R26" s="87"/>
      <c r="S26" s="87"/>
      <c r="T26" s="87"/>
      <c r="U26" s="87"/>
      <c r="V26" s="87"/>
    </row>
    <row r="27" spans="1:23" s="88" customFormat="1" ht="30" customHeight="1" x14ac:dyDescent="0.2">
      <c r="A27" s="603">
        <v>3114</v>
      </c>
      <c r="B27" s="1340" t="s">
        <v>130</v>
      </c>
      <c r="C27" s="1341"/>
      <c r="D27" s="432" t="s">
        <v>60</v>
      </c>
      <c r="E27" s="854" t="s">
        <v>60</v>
      </c>
      <c r="F27" s="432">
        <v>23842</v>
      </c>
      <c r="G27" s="985">
        <v>26611</v>
      </c>
      <c r="H27" s="986">
        <v>22020.1</v>
      </c>
      <c r="I27" s="1150">
        <v>26611</v>
      </c>
      <c r="J27" s="1151">
        <v>0</v>
      </c>
      <c r="K27" s="1151">
        <v>0</v>
      </c>
      <c r="L27" s="1110">
        <f t="shared" si="7"/>
        <v>26611</v>
      </c>
      <c r="M27" s="635">
        <f t="shared" si="8"/>
        <v>111.61395856052346</v>
      </c>
      <c r="N27" s="636">
        <f t="shared" si="9"/>
        <v>100</v>
      </c>
      <c r="O27" s="936"/>
      <c r="P27" s="87"/>
      <c r="Q27" s="87"/>
      <c r="R27" s="87"/>
      <c r="S27" s="87"/>
      <c r="T27" s="87"/>
      <c r="U27" s="87"/>
      <c r="V27" s="87"/>
    </row>
    <row r="28" spans="1:23" s="88" customFormat="1" ht="20.100000000000001" customHeight="1" x14ac:dyDescent="0.2">
      <c r="A28" s="603">
        <v>3121</v>
      </c>
      <c r="B28" s="1340" t="s">
        <v>116</v>
      </c>
      <c r="C28" s="1341"/>
      <c r="D28" s="432" t="s">
        <v>60</v>
      </c>
      <c r="E28" s="854" t="s">
        <v>60</v>
      </c>
      <c r="F28" s="432">
        <v>57686</v>
      </c>
      <c r="G28" s="985">
        <v>55541.58</v>
      </c>
      <c r="H28" s="986">
        <v>45534.2</v>
      </c>
      <c r="I28" s="1150">
        <v>54821</v>
      </c>
      <c r="J28" s="1151">
        <v>0</v>
      </c>
      <c r="K28" s="1151">
        <v>0</v>
      </c>
      <c r="L28" s="1110">
        <f t="shared" si="7"/>
        <v>54821</v>
      </c>
      <c r="M28" s="635">
        <f t="shared" si="8"/>
        <v>95.033456991297712</v>
      </c>
      <c r="N28" s="636">
        <f t="shared" si="9"/>
        <v>98.702629633510611</v>
      </c>
      <c r="O28" s="936"/>
      <c r="P28" s="87"/>
      <c r="Q28" s="87"/>
      <c r="R28" s="87"/>
      <c r="S28" s="87"/>
      <c r="T28" s="87"/>
      <c r="U28" s="87"/>
      <c r="V28" s="87"/>
    </row>
    <row r="29" spans="1:23" s="88" customFormat="1" ht="20.100000000000001" customHeight="1" x14ac:dyDescent="0.2">
      <c r="A29" s="603">
        <v>3122</v>
      </c>
      <c r="B29" s="1340" t="s">
        <v>117</v>
      </c>
      <c r="C29" s="1341"/>
      <c r="D29" s="432" t="s">
        <v>60</v>
      </c>
      <c r="E29" s="854" t="s">
        <v>60</v>
      </c>
      <c r="F29" s="432">
        <v>119055</v>
      </c>
      <c r="G29" s="985">
        <v>124377.85</v>
      </c>
      <c r="H29" s="986">
        <v>102909.5</v>
      </c>
      <c r="I29" s="1150">
        <v>123103</v>
      </c>
      <c r="J29" s="1151">
        <v>0</v>
      </c>
      <c r="K29" s="1151">
        <v>0</v>
      </c>
      <c r="L29" s="1110">
        <f t="shared" si="7"/>
        <v>123103</v>
      </c>
      <c r="M29" s="635">
        <f t="shared" si="8"/>
        <v>103.40010919323002</v>
      </c>
      <c r="N29" s="636">
        <f t="shared" si="9"/>
        <v>98.97501846188851</v>
      </c>
      <c r="O29" s="936"/>
      <c r="P29" s="87"/>
      <c r="Q29" s="87"/>
      <c r="R29" s="87"/>
      <c r="S29" s="87"/>
      <c r="T29" s="87"/>
      <c r="U29" s="87"/>
      <c r="V29" s="87"/>
    </row>
    <row r="30" spans="1:23" s="88" customFormat="1" ht="30" customHeight="1" x14ac:dyDescent="0.2">
      <c r="A30" s="603">
        <v>3123</v>
      </c>
      <c r="B30" s="1340" t="s">
        <v>131</v>
      </c>
      <c r="C30" s="1341"/>
      <c r="D30" s="432" t="s">
        <v>60</v>
      </c>
      <c r="E30" s="854" t="s">
        <v>60</v>
      </c>
      <c r="F30" s="432">
        <v>143556</v>
      </c>
      <c r="G30" s="985">
        <v>115618.74</v>
      </c>
      <c r="H30" s="986">
        <v>97451.1</v>
      </c>
      <c r="I30" s="1150">
        <v>114922</v>
      </c>
      <c r="J30" s="1151">
        <v>0</v>
      </c>
      <c r="K30" s="1151">
        <v>0</v>
      </c>
      <c r="L30" s="1110">
        <f t="shared" si="7"/>
        <v>114922</v>
      </c>
      <c r="M30" s="635">
        <f t="shared" si="8"/>
        <v>80.053776923291267</v>
      </c>
      <c r="N30" s="636">
        <f t="shared" si="9"/>
        <v>99.39738142795882</v>
      </c>
      <c r="O30" s="936"/>
      <c r="P30" s="87"/>
      <c r="Q30" s="87"/>
      <c r="R30" s="87"/>
      <c r="S30" s="87"/>
      <c r="T30" s="87"/>
      <c r="U30" s="87"/>
      <c r="V30" s="87"/>
    </row>
    <row r="31" spans="1:23" s="88" customFormat="1" ht="20.100000000000001" customHeight="1" x14ac:dyDescent="0.2">
      <c r="A31" s="603">
        <v>3125</v>
      </c>
      <c r="B31" s="1340" t="s">
        <v>254</v>
      </c>
      <c r="C31" s="1341"/>
      <c r="D31" s="432" t="s">
        <v>60</v>
      </c>
      <c r="E31" s="854" t="s">
        <v>60</v>
      </c>
      <c r="F31" s="432">
        <v>1890</v>
      </c>
      <c r="G31" s="985">
        <v>1743</v>
      </c>
      <c r="H31" s="986">
        <v>1459.5</v>
      </c>
      <c r="I31" s="1150">
        <v>1743</v>
      </c>
      <c r="J31" s="1151">
        <v>0</v>
      </c>
      <c r="K31" s="1151">
        <v>0</v>
      </c>
      <c r="L31" s="1110">
        <f t="shared" ref="L31" si="10">SUM(I31:K31)</f>
        <v>1743</v>
      </c>
      <c r="M31" s="635">
        <f t="shared" si="8"/>
        <v>92.222222222222229</v>
      </c>
      <c r="N31" s="636">
        <f t="shared" si="9"/>
        <v>100</v>
      </c>
      <c r="O31" s="936"/>
      <c r="P31" s="87"/>
      <c r="Q31" s="87"/>
      <c r="R31" s="87"/>
      <c r="S31" s="87"/>
      <c r="T31" s="87"/>
      <c r="U31" s="87"/>
      <c r="V31" s="87"/>
    </row>
    <row r="32" spans="1:23" s="88" customFormat="1" ht="20.100000000000001" customHeight="1" x14ac:dyDescent="0.2">
      <c r="A32" s="603">
        <v>3133</v>
      </c>
      <c r="B32" s="1340" t="s">
        <v>118</v>
      </c>
      <c r="C32" s="1341"/>
      <c r="D32" s="432" t="s">
        <v>60</v>
      </c>
      <c r="E32" s="854" t="s">
        <v>60</v>
      </c>
      <c r="F32" s="432">
        <v>12422</v>
      </c>
      <c r="G32" s="985">
        <v>12356</v>
      </c>
      <c r="H32" s="986">
        <v>10229</v>
      </c>
      <c r="I32" s="1150">
        <v>12356</v>
      </c>
      <c r="J32" s="1151">
        <v>0</v>
      </c>
      <c r="K32" s="1151">
        <v>0</v>
      </c>
      <c r="L32" s="1110">
        <f t="shared" ref="L32" si="11">SUM(I32:K32)</f>
        <v>12356</v>
      </c>
      <c r="M32" s="635">
        <f t="shared" si="8"/>
        <v>99.468684591853162</v>
      </c>
      <c r="N32" s="636">
        <f t="shared" si="9"/>
        <v>100</v>
      </c>
      <c r="O32" s="936"/>
      <c r="P32" s="87"/>
      <c r="Q32" s="87"/>
      <c r="R32" s="87"/>
      <c r="S32" s="87"/>
      <c r="T32" s="87"/>
      <c r="U32" s="87"/>
      <c r="V32" s="87"/>
    </row>
    <row r="33" spans="1:22" s="88" customFormat="1" ht="20.100000000000001" customHeight="1" x14ac:dyDescent="0.2">
      <c r="A33" s="603">
        <v>3146</v>
      </c>
      <c r="B33" s="1340" t="s">
        <v>132</v>
      </c>
      <c r="C33" s="1341"/>
      <c r="D33" s="432" t="s">
        <v>60</v>
      </c>
      <c r="E33" s="854" t="s">
        <v>60</v>
      </c>
      <c r="F33" s="432">
        <v>1959</v>
      </c>
      <c r="G33" s="985">
        <v>1761</v>
      </c>
      <c r="H33" s="986">
        <v>1472</v>
      </c>
      <c r="I33" s="1150">
        <v>1761</v>
      </c>
      <c r="J33" s="1151">
        <v>0</v>
      </c>
      <c r="K33" s="1151">
        <v>0</v>
      </c>
      <c r="L33" s="1110">
        <f t="shared" si="7"/>
        <v>1761</v>
      </c>
      <c r="M33" s="635">
        <f t="shared" si="8"/>
        <v>89.892802450229709</v>
      </c>
      <c r="N33" s="636">
        <f t="shared" si="9"/>
        <v>100</v>
      </c>
      <c r="O33" s="936"/>
      <c r="P33" s="87"/>
      <c r="Q33" s="87"/>
      <c r="R33" s="87"/>
      <c r="S33" s="87"/>
      <c r="T33" s="87"/>
      <c r="U33" s="87"/>
      <c r="V33" s="87"/>
    </row>
    <row r="34" spans="1:22" s="88" customFormat="1" ht="20.100000000000001" customHeight="1" x14ac:dyDescent="0.2">
      <c r="A34" s="603">
        <v>3231</v>
      </c>
      <c r="B34" s="1340" t="s">
        <v>133</v>
      </c>
      <c r="C34" s="1341"/>
      <c r="D34" s="432" t="s">
        <v>60</v>
      </c>
      <c r="E34" s="854" t="s">
        <v>60</v>
      </c>
      <c r="F34" s="432">
        <v>5859</v>
      </c>
      <c r="G34" s="985">
        <v>5667.03</v>
      </c>
      <c r="H34" s="986">
        <v>4693.7299999999996</v>
      </c>
      <c r="I34" s="1150">
        <v>5667</v>
      </c>
      <c r="J34" s="1151">
        <v>0</v>
      </c>
      <c r="K34" s="1151">
        <v>0</v>
      </c>
      <c r="L34" s="1110">
        <f t="shared" si="7"/>
        <v>5667</v>
      </c>
      <c r="M34" s="635">
        <f t="shared" si="8"/>
        <v>96.72299027137737</v>
      </c>
      <c r="N34" s="636">
        <f t="shared" si="9"/>
        <v>99.999470622177753</v>
      </c>
      <c r="O34" s="936"/>
      <c r="P34" s="87"/>
      <c r="Q34" s="87"/>
      <c r="R34" s="87"/>
      <c r="S34" s="87"/>
      <c r="T34" s="87"/>
      <c r="U34" s="87"/>
      <c r="V34" s="87"/>
    </row>
    <row r="35" spans="1:22" s="88" customFormat="1" ht="20.100000000000001" customHeight="1" x14ac:dyDescent="0.2">
      <c r="A35" s="603">
        <v>3269</v>
      </c>
      <c r="B35" s="1340" t="s">
        <v>134</v>
      </c>
      <c r="C35" s="1341"/>
      <c r="D35" s="432" t="s">
        <v>60</v>
      </c>
      <c r="E35" s="854" t="s">
        <v>60</v>
      </c>
      <c r="F35" s="432">
        <v>0</v>
      </c>
      <c r="G35" s="985">
        <v>17607.63</v>
      </c>
      <c r="H35" s="986">
        <v>0</v>
      </c>
      <c r="I35" s="1150">
        <v>1000</v>
      </c>
      <c r="J35" s="1151">
        <v>0</v>
      </c>
      <c r="K35" s="1151">
        <v>0</v>
      </c>
      <c r="L35" s="1110">
        <f t="shared" si="7"/>
        <v>1000</v>
      </c>
      <c r="M35" s="635" t="s">
        <v>60</v>
      </c>
      <c r="N35" s="636">
        <f t="shared" si="9"/>
        <v>5.6793560518934116</v>
      </c>
      <c r="O35" s="936"/>
      <c r="P35" s="87"/>
      <c r="Q35" s="87"/>
      <c r="R35" s="87"/>
      <c r="S35" s="87"/>
      <c r="T35" s="87"/>
      <c r="U35" s="87"/>
      <c r="V35" s="87"/>
    </row>
    <row r="36" spans="1:22" s="88" customFormat="1" ht="30" customHeight="1" x14ac:dyDescent="0.2">
      <c r="A36" s="603" t="s">
        <v>135</v>
      </c>
      <c r="B36" s="1340" t="s">
        <v>136</v>
      </c>
      <c r="C36" s="1341"/>
      <c r="D36" s="432" t="s">
        <v>60</v>
      </c>
      <c r="E36" s="854" t="s">
        <v>60</v>
      </c>
      <c r="F36" s="432">
        <v>1740</v>
      </c>
      <c r="G36" s="985">
        <v>1090</v>
      </c>
      <c r="H36" s="986">
        <v>938.3</v>
      </c>
      <c r="I36" s="1150">
        <v>1090</v>
      </c>
      <c r="J36" s="1151">
        <v>0</v>
      </c>
      <c r="K36" s="1151">
        <v>0</v>
      </c>
      <c r="L36" s="1110">
        <f t="shared" si="7"/>
        <v>1090</v>
      </c>
      <c r="M36" s="635">
        <f t="shared" si="8"/>
        <v>62.643678160919535</v>
      </c>
      <c r="N36" s="636">
        <f t="shared" si="9"/>
        <v>100</v>
      </c>
      <c r="O36" s="936"/>
      <c r="P36" s="87"/>
      <c r="Q36" s="87"/>
      <c r="R36" s="87"/>
      <c r="S36" s="87"/>
      <c r="T36" s="87"/>
      <c r="U36" s="87"/>
      <c r="V36" s="87"/>
    </row>
    <row r="37" spans="1:22" s="88" customFormat="1" ht="20.100000000000001" customHeight="1" x14ac:dyDescent="0.2">
      <c r="A37" s="603">
        <v>3421</v>
      </c>
      <c r="B37" s="1340" t="s">
        <v>137</v>
      </c>
      <c r="C37" s="1341"/>
      <c r="D37" s="432" t="s">
        <v>60</v>
      </c>
      <c r="E37" s="854" t="s">
        <v>60</v>
      </c>
      <c r="F37" s="432">
        <v>8784</v>
      </c>
      <c r="G37" s="985">
        <v>10153</v>
      </c>
      <c r="H37" s="986">
        <v>8255.4</v>
      </c>
      <c r="I37" s="1150">
        <v>10153</v>
      </c>
      <c r="J37" s="1151">
        <v>0</v>
      </c>
      <c r="K37" s="1151">
        <v>0</v>
      </c>
      <c r="L37" s="1110">
        <f t="shared" si="7"/>
        <v>10153</v>
      </c>
      <c r="M37" s="635">
        <f t="shared" si="8"/>
        <v>115.5851548269581</v>
      </c>
      <c r="N37" s="636">
        <f t="shared" si="9"/>
        <v>100</v>
      </c>
      <c r="O37" s="936"/>
      <c r="P37" s="87"/>
      <c r="Q37" s="87"/>
      <c r="R37" s="87"/>
      <c r="S37" s="87"/>
      <c r="T37" s="87"/>
      <c r="U37" s="87"/>
      <c r="V37" s="87"/>
    </row>
    <row r="38" spans="1:22" s="70" customFormat="1" ht="24" customHeight="1" x14ac:dyDescent="0.2">
      <c r="A38" s="1342" t="s">
        <v>140</v>
      </c>
      <c r="B38" s="1343"/>
      <c r="C38" s="1303"/>
      <c r="D38" s="464">
        <f t="shared" ref="D38:K38" si="12">SUM(D39:D48)</f>
        <v>36000</v>
      </c>
      <c r="E38" s="463">
        <f t="shared" si="12"/>
        <v>37647.590000000004</v>
      </c>
      <c r="F38" s="464">
        <f t="shared" si="12"/>
        <v>38500</v>
      </c>
      <c r="G38" s="470">
        <f t="shared" si="12"/>
        <v>39749.160000000003</v>
      </c>
      <c r="H38" s="465">
        <f t="shared" si="12"/>
        <v>28637.670000000002</v>
      </c>
      <c r="I38" s="1046">
        <f t="shared" si="12"/>
        <v>42000</v>
      </c>
      <c r="J38" s="531">
        <f t="shared" si="12"/>
        <v>0</v>
      </c>
      <c r="K38" s="1122">
        <f t="shared" si="12"/>
        <v>0</v>
      </c>
      <c r="L38" s="1076">
        <f>SUM(I38:K38)</f>
        <v>42000</v>
      </c>
      <c r="M38" s="639">
        <f t="shared" si="3"/>
        <v>109.09090909090908</v>
      </c>
      <c r="N38" s="640">
        <f t="shared" si="4"/>
        <v>105.66261022874446</v>
      </c>
      <c r="O38" s="936"/>
      <c r="P38" s="461"/>
      <c r="Q38" s="461"/>
      <c r="R38" s="461"/>
      <c r="S38" s="461"/>
      <c r="T38" s="461"/>
      <c r="U38" s="461"/>
      <c r="V38" s="461"/>
    </row>
    <row r="39" spans="1:22" s="352" customFormat="1" ht="30" customHeight="1" x14ac:dyDescent="0.2">
      <c r="A39" s="603">
        <v>3112</v>
      </c>
      <c r="B39" s="1340" t="s">
        <v>129</v>
      </c>
      <c r="C39" s="1341"/>
      <c r="D39" s="432">
        <v>247</v>
      </c>
      <c r="E39" s="121">
        <v>280.60000000000002</v>
      </c>
      <c r="F39" s="432">
        <v>298</v>
      </c>
      <c r="G39" s="119">
        <v>325.87</v>
      </c>
      <c r="H39" s="953">
        <v>233.1</v>
      </c>
      <c r="I39" s="654">
        <v>350</v>
      </c>
      <c r="J39" s="984">
        <v>0</v>
      </c>
      <c r="K39" s="984">
        <v>0</v>
      </c>
      <c r="L39" s="1110">
        <f t="shared" si="2"/>
        <v>350</v>
      </c>
      <c r="M39" s="635">
        <f t="shared" si="3"/>
        <v>117.4496644295302</v>
      </c>
      <c r="N39" s="636">
        <f t="shared" si="4"/>
        <v>107.40479332249055</v>
      </c>
      <c r="O39" s="936"/>
      <c r="P39" s="351"/>
      <c r="Q39" s="351"/>
      <c r="R39" s="351"/>
      <c r="S39" s="351"/>
      <c r="T39" s="351"/>
      <c r="U39" s="351"/>
      <c r="V39" s="351"/>
    </row>
    <row r="40" spans="1:22" s="102" customFormat="1" ht="30" customHeight="1" x14ac:dyDescent="0.2">
      <c r="A40" s="603">
        <v>3114</v>
      </c>
      <c r="B40" s="1340" t="s">
        <v>130</v>
      </c>
      <c r="C40" s="1341"/>
      <c r="D40" s="432">
        <v>3928</v>
      </c>
      <c r="E40" s="121">
        <v>3868.3</v>
      </c>
      <c r="F40" s="432">
        <v>3859</v>
      </c>
      <c r="G40" s="119">
        <v>4176.41</v>
      </c>
      <c r="H40" s="953">
        <v>3076.63</v>
      </c>
      <c r="I40" s="654">
        <v>4491</v>
      </c>
      <c r="J40" s="984">
        <v>0</v>
      </c>
      <c r="K40" s="984">
        <v>0</v>
      </c>
      <c r="L40" s="1110">
        <f t="shared" si="2"/>
        <v>4491</v>
      </c>
      <c r="M40" s="635">
        <f t="shared" si="3"/>
        <v>116.37729981860585</v>
      </c>
      <c r="N40" s="636">
        <f t="shared" si="4"/>
        <v>107.53254589467988</v>
      </c>
      <c r="O40" s="936"/>
      <c r="P40" s="159"/>
      <c r="Q40" s="159"/>
      <c r="R40" s="159"/>
      <c r="S40" s="159"/>
      <c r="T40" s="159"/>
      <c r="U40" s="159"/>
      <c r="V40" s="159"/>
    </row>
    <row r="41" spans="1:22" s="102" customFormat="1" ht="20.100000000000001" customHeight="1" x14ac:dyDescent="0.2">
      <c r="A41" s="603">
        <v>3121</v>
      </c>
      <c r="B41" s="1340" t="s">
        <v>116</v>
      </c>
      <c r="C41" s="1341"/>
      <c r="D41" s="432">
        <v>10652</v>
      </c>
      <c r="E41" s="121">
        <v>11224.26</v>
      </c>
      <c r="F41" s="432">
        <v>11462</v>
      </c>
      <c r="G41" s="119">
        <v>11717.35</v>
      </c>
      <c r="H41" s="953">
        <v>8525.2000000000007</v>
      </c>
      <c r="I41" s="654">
        <v>12601</v>
      </c>
      <c r="J41" s="984">
        <v>0</v>
      </c>
      <c r="K41" s="984">
        <v>0</v>
      </c>
      <c r="L41" s="1110">
        <f t="shared" si="2"/>
        <v>12601</v>
      </c>
      <c r="M41" s="635">
        <f t="shared" si="3"/>
        <v>109.93718373756762</v>
      </c>
      <c r="N41" s="636">
        <f t="shared" si="4"/>
        <v>107.5413809436434</v>
      </c>
      <c r="O41" s="936"/>
      <c r="P41" s="159"/>
      <c r="Q41" s="159"/>
      <c r="R41" s="159"/>
      <c r="S41" s="159"/>
      <c r="T41" s="159"/>
      <c r="U41" s="159"/>
      <c r="V41" s="159"/>
    </row>
    <row r="42" spans="1:22" s="102" customFormat="1" ht="20.100000000000001" customHeight="1" x14ac:dyDescent="0.2">
      <c r="A42" s="603">
        <v>3122</v>
      </c>
      <c r="B42" s="1340" t="s">
        <v>117</v>
      </c>
      <c r="C42" s="1341"/>
      <c r="D42" s="432">
        <v>5527</v>
      </c>
      <c r="E42" s="121">
        <v>5887.52</v>
      </c>
      <c r="F42" s="432">
        <v>6023</v>
      </c>
      <c r="G42" s="119">
        <v>6181.68</v>
      </c>
      <c r="H42" s="953">
        <v>4477.6000000000004</v>
      </c>
      <c r="I42" s="654">
        <v>6648</v>
      </c>
      <c r="J42" s="984">
        <v>0</v>
      </c>
      <c r="K42" s="984">
        <v>0</v>
      </c>
      <c r="L42" s="1110">
        <f t="shared" si="2"/>
        <v>6648</v>
      </c>
      <c r="M42" s="635">
        <f t="shared" si="3"/>
        <v>110.37688859372406</v>
      </c>
      <c r="N42" s="636">
        <f t="shared" si="4"/>
        <v>107.5435803859145</v>
      </c>
      <c r="O42" s="936"/>
      <c r="P42" s="159"/>
      <c r="Q42" s="159"/>
      <c r="R42" s="159"/>
      <c r="S42" s="159"/>
      <c r="T42" s="159"/>
      <c r="U42" s="159"/>
      <c r="V42" s="159"/>
    </row>
    <row r="43" spans="1:22" s="102" customFormat="1" ht="31.5" customHeight="1" x14ac:dyDescent="0.2">
      <c r="A43" s="603">
        <v>3123</v>
      </c>
      <c r="B43" s="1340" t="s">
        <v>131</v>
      </c>
      <c r="C43" s="1341"/>
      <c r="D43" s="432">
        <v>9432</v>
      </c>
      <c r="E43" s="121">
        <v>9489.7999999999993</v>
      </c>
      <c r="F43" s="432">
        <v>9834</v>
      </c>
      <c r="G43" s="119">
        <v>10541.96</v>
      </c>
      <c r="H43" s="953">
        <v>7603.24</v>
      </c>
      <c r="I43" s="654">
        <v>11337</v>
      </c>
      <c r="J43" s="984">
        <v>0</v>
      </c>
      <c r="K43" s="984">
        <v>0</v>
      </c>
      <c r="L43" s="1110">
        <f t="shared" si="2"/>
        <v>11337</v>
      </c>
      <c r="M43" s="635">
        <f t="shared" si="3"/>
        <v>115.2837095790116</v>
      </c>
      <c r="N43" s="636">
        <f t="shared" si="4"/>
        <v>107.54167156771608</v>
      </c>
      <c r="O43" s="936"/>
      <c r="P43" s="159"/>
      <c r="Q43" s="159"/>
      <c r="R43" s="159"/>
      <c r="S43" s="159"/>
      <c r="T43" s="159"/>
      <c r="U43" s="159"/>
      <c r="V43" s="159"/>
    </row>
    <row r="44" spans="1:22" s="102" customFormat="1" ht="20.100000000000001" customHeight="1" x14ac:dyDescent="0.2">
      <c r="A44" s="603">
        <v>3146</v>
      </c>
      <c r="B44" s="1340" t="s">
        <v>132</v>
      </c>
      <c r="C44" s="1341"/>
      <c r="D44" s="432">
        <v>959</v>
      </c>
      <c r="E44" s="121">
        <v>1751.81</v>
      </c>
      <c r="F44" s="432">
        <v>1835</v>
      </c>
      <c r="G44" s="119">
        <v>1935.72</v>
      </c>
      <c r="H44" s="953">
        <v>1405.8</v>
      </c>
      <c r="I44" s="654">
        <v>2082</v>
      </c>
      <c r="J44" s="984">
        <v>0</v>
      </c>
      <c r="K44" s="984">
        <v>0</v>
      </c>
      <c r="L44" s="1110">
        <f t="shared" si="2"/>
        <v>2082</v>
      </c>
      <c r="M44" s="635">
        <f t="shared" si="3"/>
        <v>113.46049046321527</v>
      </c>
      <c r="N44" s="636">
        <f t="shared" si="4"/>
        <v>107.55687806087657</v>
      </c>
      <c r="O44" s="936"/>
      <c r="P44" s="159"/>
      <c r="Q44" s="159"/>
      <c r="R44" s="159"/>
      <c r="S44" s="159"/>
      <c r="T44" s="159"/>
      <c r="U44" s="159"/>
      <c r="V44" s="159"/>
    </row>
    <row r="45" spans="1:22" s="102" customFormat="1" ht="20.100000000000001" customHeight="1" x14ac:dyDescent="0.2">
      <c r="A45" s="603">
        <v>3231</v>
      </c>
      <c r="B45" s="1340" t="s">
        <v>133</v>
      </c>
      <c r="C45" s="1341"/>
      <c r="D45" s="432">
        <v>3527</v>
      </c>
      <c r="E45" s="121">
        <v>3410.46</v>
      </c>
      <c r="F45" s="432">
        <v>3406</v>
      </c>
      <c r="G45" s="119">
        <v>2628.71</v>
      </c>
      <c r="H45" s="953">
        <v>1954.7</v>
      </c>
      <c r="I45" s="654">
        <v>2498</v>
      </c>
      <c r="J45" s="984">
        <v>0</v>
      </c>
      <c r="K45" s="984">
        <v>0</v>
      </c>
      <c r="L45" s="1110">
        <f t="shared" si="2"/>
        <v>2498</v>
      </c>
      <c r="M45" s="635">
        <f t="shared" si="3"/>
        <v>73.341162654139751</v>
      </c>
      <c r="N45" s="636">
        <f t="shared" si="4"/>
        <v>95.027599088526316</v>
      </c>
      <c r="O45" s="936"/>
      <c r="P45" s="159"/>
      <c r="Q45" s="159"/>
      <c r="R45" s="159"/>
      <c r="S45" s="159"/>
      <c r="T45" s="159"/>
      <c r="U45" s="159"/>
      <c r="V45" s="159"/>
    </row>
    <row r="46" spans="1:22" s="102" customFormat="1" ht="20.100000000000001" customHeight="1" x14ac:dyDescent="0.2">
      <c r="A46" s="603">
        <v>3269</v>
      </c>
      <c r="B46" s="1340" t="s">
        <v>134</v>
      </c>
      <c r="C46" s="1356"/>
      <c r="D46" s="432">
        <v>0</v>
      </c>
      <c r="E46" s="121">
        <v>0</v>
      </c>
      <c r="F46" s="988">
        <v>0</v>
      </c>
      <c r="G46" s="119">
        <v>388.02</v>
      </c>
      <c r="H46" s="953">
        <v>0</v>
      </c>
      <c r="I46" s="654">
        <v>0</v>
      </c>
      <c r="J46" s="984">
        <v>0</v>
      </c>
      <c r="K46" s="984">
        <v>0</v>
      </c>
      <c r="L46" s="1110">
        <f t="shared" ref="L46:L48" si="13">SUM(I46:K46)</f>
        <v>0</v>
      </c>
      <c r="M46" s="635" t="s">
        <v>60</v>
      </c>
      <c r="N46" s="636">
        <f t="shared" ref="N46" si="14">L46/G46*100</f>
        <v>0</v>
      </c>
      <c r="O46" s="936"/>
      <c r="P46" s="159"/>
      <c r="Q46" s="159"/>
      <c r="R46" s="159"/>
      <c r="S46" s="159"/>
      <c r="T46" s="159"/>
      <c r="U46" s="159"/>
      <c r="V46" s="159"/>
    </row>
    <row r="47" spans="1:22" s="102" customFormat="1" ht="30" customHeight="1" x14ac:dyDescent="0.2">
      <c r="A47" s="603" t="s">
        <v>135</v>
      </c>
      <c r="B47" s="1340" t="s">
        <v>136</v>
      </c>
      <c r="C47" s="1341"/>
      <c r="D47" s="432">
        <v>692</v>
      </c>
      <c r="E47" s="121">
        <v>681.29</v>
      </c>
      <c r="F47" s="432">
        <v>722</v>
      </c>
      <c r="G47" s="119">
        <v>681.29</v>
      </c>
      <c r="H47" s="953">
        <v>510.9</v>
      </c>
      <c r="I47" s="654">
        <v>733</v>
      </c>
      <c r="J47" s="984">
        <v>0</v>
      </c>
      <c r="K47" s="984">
        <v>0</v>
      </c>
      <c r="L47" s="1110">
        <f t="shared" si="13"/>
        <v>733</v>
      </c>
      <c r="M47" s="635">
        <f t="shared" si="3"/>
        <v>101.52354570637118</v>
      </c>
      <c r="N47" s="636">
        <f t="shared" si="4"/>
        <v>107.59001306345317</v>
      </c>
      <c r="O47" s="936"/>
      <c r="P47" s="159"/>
      <c r="Q47" s="159"/>
      <c r="R47" s="159"/>
      <c r="S47" s="159"/>
      <c r="T47" s="159"/>
      <c r="U47" s="159"/>
      <c r="V47" s="159"/>
    </row>
    <row r="48" spans="1:22" s="102" customFormat="1" ht="20.100000000000001" customHeight="1" x14ac:dyDescent="0.2">
      <c r="A48" s="603">
        <v>3421</v>
      </c>
      <c r="B48" s="1340" t="s">
        <v>137</v>
      </c>
      <c r="C48" s="1341"/>
      <c r="D48" s="432">
        <v>1036</v>
      </c>
      <c r="E48" s="121">
        <v>1053.55</v>
      </c>
      <c r="F48" s="432">
        <v>1061</v>
      </c>
      <c r="G48" s="119">
        <v>1172.1500000000001</v>
      </c>
      <c r="H48" s="953">
        <v>850.5</v>
      </c>
      <c r="I48" s="654">
        <v>1260</v>
      </c>
      <c r="J48" s="984">
        <v>0</v>
      </c>
      <c r="K48" s="984">
        <v>0</v>
      </c>
      <c r="L48" s="1110">
        <f t="shared" si="13"/>
        <v>1260</v>
      </c>
      <c r="M48" s="635">
        <f t="shared" si="3"/>
        <v>118.75589066918002</v>
      </c>
      <c r="N48" s="636">
        <f t="shared" si="4"/>
        <v>107.49477455957002</v>
      </c>
      <c r="O48" s="936"/>
      <c r="P48" s="159"/>
      <c r="Q48" s="159"/>
      <c r="R48" s="159"/>
      <c r="S48" s="159"/>
      <c r="T48" s="159"/>
      <c r="U48" s="159"/>
      <c r="V48" s="159"/>
    </row>
    <row r="49" spans="1:22" s="70" customFormat="1" ht="24" customHeight="1" x14ac:dyDescent="0.2">
      <c r="A49" s="1342" t="s">
        <v>142</v>
      </c>
      <c r="B49" s="1343"/>
      <c r="C49" s="1303"/>
      <c r="D49" s="464">
        <f t="shared" ref="D49" si="15">SUM(D50:D59)</f>
        <v>57500</v>
      </c>
      <c r="E49" s="463">
        <f>SUM(E50:E59)</f>
        <v>28415.440000000002</v>
      </c>
      <c r="F49" s="464">
        <f t="shared" ref="F49:K49" si="16">SUM(F50:F59)</f>
        <v>62000</v>
      </c>
      <c r="G49" s="470">
        <f t="shared" si="16"/>
        <v>64805.960000000006</v>
      </c>
      <c r="H49" s="465">
        <f t="shared" si="16"/>
        <v>23460.84</v>
      </c>
      <c r="I49" s="1046">
        <f t="shared" si="16"/>
        <v>37000</v>
      </c>
      <c r="J49" s="531">
        <f t="shared" si="16"/>
        <v>14000</v>
      </c>
      <c r="K49" s="1122">
        <f t="shared" si="16"/>
        <v>11000</v>
      </c>
      <c r="L49" s="1076">
        <f>SUM(I49:K49)</f>
        <v>62000</v>
      </c>
      <c r="M49" s="639">
        <f t="shared" si="3"/>
        <v>100</v>
      </c>
      <c r="N49" s="640">
        <f t="shared" si="4"/>
        <v>95.670213048306039</v>
      </c>
      <c r="O49" s="936"/>
      <c r="P49" s="461"/>
      <c r="Q49" s="461"/>
      <c r="R49" s="461"/>
      <c r="S49" s="461"/>
      <c r="T49" s="461"/>
      <c r="U49" s="461"/>
      <c r="V49" s="461"/>
    </row>
    <row r="50" spans="1:22" s="102" customFormat="1" ht="30.75" customHeight="1" x14ac:dyDescent="0.2">
      <c r="A50" s="629">
        <v>3114</v>
      </c>
      <c r="B50" s="1340" t="s">
        <v>130</v>
      </c>
      <c r="C50" s="1341"/>
      <c r="D50" s="448">
        <v>0</v>
      </c>
      <c r="E50" s="447">
        <v>3007.65</v>
      </c>
      <c r="F50" s="448">
        <v>0</v>
      </c>
      <c r="G50" s="449">
        <v>3352</v>
      </c>
      <c r="H50" s="450">
        <v>1760.03</v>
      </c>
      <c r="I50" s="654">
        <v>0</v>
      </c>
      <c r="J50" s="984">
        <v>0</v>
      </c>
      <c r="K50" s="984">
        <v>0</v>
      </c>
      <c r="L50" s="1110">
        <f t="shared" si="2"/>
        <v>0</v>
      </c>
      <c r="M50" s="635" t="s">
        <v>60</v>
      </c>
      <c r="N50" s="636">
        <f t="shared" ref="N50:N59" si="17">L50/G50*100</f>
        <v>0</v>
      </c>
      <c r="O50" s="936"/>
      <c r="P50" s="159"/>
      <c r="Q50" s="159"/>
      <c r="R50" s="159"/>
      <c r="S50" s="159"/>
      <c r="T50" s="159"/>
      <c r="U50" s="159"/>
      <c r="V50" s="159"/>
    </row>
    <row r="51" spans="1:22" s="102" customFormat="1" ht="20.100000000000001" customHeight="1" x14ac:dyDescent="0.2">
      <c r="A51" s="629">
        <v>3121</v>
      </c>
      <c r="B51" s="1340" t="s">
        <v>116</v>
      </c>
      <c r="C51" s="1341"/>
      <c r="D51" s="448">
        <v>0</v>
      </c>
      <c r="E51" s="447">
        <v>5111.9399999999996</v>
      </c>
      <c r="F51" s="448">
        <v>0</v>
      </c>
      <c r="G51" s="449">
        <v>24634.55</v>
      </c>
      <c r="H51" s="450">
        <v>12388.97</v>
      </c>
      <c r="I51" s="654">
        <v>0</v>
      </c>
      <c r="J51" s="984">
        <v>0</v>
      </c>
      <c r="K51" s="984">
        <v>0</v>
      </c>
      <c r="L51" s="1110">
        <f t="shared" si="2"/>
        <v>0</v>
      </c>
      <c r="M51" s="635" t="s">
        <v>60</v>
      </c>
      <c r="N51" s="636">
        <f t="shared" si="17"/>
        <v>0</v>
      </c>
      <c r="O51" s="936"/>
      <c r="P51" s="159"/>
      <c r="Q51" s="159"/>
      <c r="R51" s="159"/>
      <c r="S51" s="159"/>
      <c r="T51" s="159"/>
      <c r="U51" s="159"/>
      <c r="V51" s="159"/>
    </row>
    <row r="52" spans="1:22" s="102" customFormat="1" ht="20.100000000000001" customHeight="1" x14ac:dyDescent="0.2">
      <c r="A52" s="629">
        <v>3122</v>
      </c>
      <c r="B52" s="1340" t="s">
        <v>117</v>
      </c>
      <c r="C52" s="1341"/>
      <c r="D52" s="448">
        <v>0</v>
      </c>
      <c r="E52" s="447">
        <v>6707.28</v>
      </c>
      <c r="F52" s="448">
        <v>0</v>
      </c>
      <c r="G52" s="449">
        <v>9746</v>
      </c>
      <c r="H52" s="450">
        <v>4632.21</v>
      </c>
      <c r="I52" s="654">
        <v>0</v>
      </c>
      <c r="J52" s="984">
        <v>0</v>
      </c>
      <c r="K52" s="984">
        <v>0</v>
      </c>
      <c r="L52" s="1110">
        <f t="shared" si="2"/>
        <v>0</v>
      </c>
      <c r="M52" s="635" t="s">
        <v>60</v>
      </c>
      <c r="N52" s="636">
        <f t="shared" si="17"/>
        <v>0</v>
      </c>
      <c r="O52" s="936"/>
      <c r="P52" s="159"/>
      <c r="Q52" s="159"/>
      <c r="R52" s="159"/>
      <c r="S52" s="159"/>
      <c r="T52" s="159"/>
      <c r="U52" s="159"/>
      <c r="V52" s="159"/>
    </row>
    <row r="53" spans="1:22" s="102" customFormat="1" ht="30.75" customHeight="1" x14ac:dyDescent="0.2">
      <c r="A53" s="629">
        <v>3123</v>
      </c>
      <c r="B53" s="1340" t="s">
        <v>131</v>
      </c>
      <c r="C53" s="1341"/>
      <c r="D53" s="448">
        <v>0</v>
      </c>
      <c r="E53" s="447">
        <v>8605.24</v>
      </c>
      <c r="F53" s="448">
        <v>0</v>
      </c>
      <c r="G53" s="449">
        <v>11248</v>
      </c>
      <c r="H53" s="450">
        <v>4679.63</v>
      </c>
      <c r="I53" s="654">
        <v>0</v>
      </c>
      <c r="J53" s="984">
        <v>0</v>
      </c>
      <c r="K53" s="984">
        <v>0</v>
      </c>
      <c r="L53" s="1110">
        <f t="shared" si="2"/>
        <v>0</v>
      </c>
      <c r="M53" s="635" t="s">
        <v>60</v>
      </c>
      <c r="N53" s="636">
        <f t="shared" si="17"/>
        <v>0</v>
      </c>
      <c r="O53" s="936"/>
      <c r="P53" s="159"/>
      <c r="Q53" s="159"/>
      <c r="R53" s="159"/>
      <c r="S53" s="159"/>
      <c r="T53" s="159"/>
      <c r="U53" s="159"/>
      <c r="V53" s="159"/>
    </row>
    <row r="54" spans="1:22" s="102" customFormat="1" ht="30" customHeight="1" x14ac:dyDescent="0.2">
      <c r="A54" s="629">
        <v>3125</v>
      </c>
      <c r="B54" s="1340" t="s">
        <v>254</v>
      </c>
      <c r="C54" s="1341"/>
      <c r="D54" s="448">
        <v>0</v>
      </c>
      <c r="E54" s="447">
        <v>629.34</v>
      </c>
      <c r="F54" s="448">
        <v>0</v>
      </c>
      <c r="G54" s="449">
        <v>0</v>
      </c>
      <c r="H54" s="450">
        <v>0</v>
      </c>
      <c r="I54" s="654">
        <v>0</v>
      </c>
      <c r="J54" s="984">
        <v>0</v>
      </c>
      <c r="K54" s="984">
        <v>0</v>
      </c>
      <c r="L54" s="1110">
        <f t="shared" si="2"/>
        <v>0</v>
      </c>
      <c r="M54" s="635" t="s">
        <v>60</v>
      </c>
      <c r="N54" s="636" t="s">
        <v>60</v>
      </c>
      <c r="O54" s="936"/>
      <c r="P54" s="159"/>
      <c r="Q54" s="159"/>
      <c r="R54" s="159"/>
      <c r="S54" s="159"/>
      <c r="T54" s="159"/>
      <c r="U54" s="159"/>
      <c r="V54" s="159"/>
    </row>
    <row r="55" spans="1:22" s="102" customFormat="1" ht="20.100000000000001" customHeight="1" x14ac:dyDescent="0.2">
      <c r="A55" s="629">
        <v>3133</v>
      </c>
      <c r="B55" s="1340" t="s">
        <v>118</v>
      </c>
      <c r="C55" s="1341"/>
      <c r="D55" s="448">
        <v>0</v>
      </c>
      <c r="E55" s="447">
        <v>3039.25</v>
      </c>
      <c r="F55" s="448">
        <v>0</v>
      </c>
      <c r="G55" s="449">
        <v>380</v>
      </c>
      <c r="H55" s="450">
        <v>0</v>
      </c>
      <c r="I55" s="654">
        <v>0</v>
      </c>
      <c r="J55" s="984">
        <v>0</v>
      </c>
      <c r="K55" s="984">
        <v>0</v>
      </c>
      <c r="L55" s="1110">
        <f t="shared" si="2"/>
        <v>0</v>
      </c>
      <c r="M55" s="635" t="s">
        <v>60</v>
      </c>
      <c r="N55" s="636">
        <f t="shared" si="17"/>
        <v>0</v>
      </c>
      <c r="O55" s="936"/>
      <c r="P55" s="159"/>
      <c r="Q55" s="159"/>
      <c r="R55" s="159"/>
      <c r="S55" s="159"/>
      <c r="T55" s="159"/>
      <c r="U55" s="159"/>
      <c r="V55" s="159"/>
    </row>
    <row r="56" spans="1:22" s="102" customFormat="1" ht="20.100000000000001" customHeight="1" x14ac:dyDescent="0.2">
      <c r="A56" s="629">
        <v>3231</v>
      </c>
      <c r="B56" s="1340" t="s">
        <v>133</v>
      </c>
      <c r="C56" s="1341"/>
      <c r="D56" s="448">
        <v>0</v>
      </c>
      <c r="E56" s="447">
        <v>214.74</v>
      </c>
      <c r="F56" s="448">
        <v>0</v>
      </c>
      <c r="G56" s="449">
        <v>2200</v>
      </c>
      <c r="H56" s="450">
        <v>0</v>
      </c>
      <c r="I56" s="654">
        <v>0</v>
      </c>
      <c r="J56" s="984">
        <v>0</v>
      </c>
      <c r="K56" s="984">
        <v>0</v>
      </c>
      <c r="L56" s="1110">
        <f t="shared" si="2"/>
        <v>0</v>
      </c>
      <c r="M56" s="635" t="s">
        <v>60</v>
      </c>
      <c r="N56" s="636">
        <f t="shared" si="17"/>
        <v>0</v>
      </c>
      <c r="O56" s="936"/>
      <c r="P56" s="159"/>
      <c r="Q56" s="159"/>
      <c r="R56" s="159"/>
      <c r="S56" s="159"/>
      <c r="T56" s="159"/>
      <c r="U56" s="159"/>
      <c r="V56" s="159"/>
    </row>
    <row r="57" spans="1:22" s="102" customFormat="1" ht="20.100000000000001" customHeight="1" x14ac:dyDescent="0.2">
      <c r="A57" s="629">
        <v>3269</v>
      </c>
      <c r="B57" s="1340" t="s">
        <v>134</v>
      </c>
      <c r="C57" s="1341"/>
      <c r="D57" s="448">
        <v>57500</v>
      </c>
      <c r="E57" s="447">
        <v>0</v>
      </c>
      <c r="F57" s="448">
        <v>62000</v>
      </c>
      <c r="G57" s="449">
        <v>9795.41</v>
      </c>
      <c r="H57" s="450">
        <v>0</v>
      </c>
      <c r="I57" s="654">
        <v>37000</v>
      </c>
      <c r="J57" s="984">
        <v>14000</v>
      </c>
      <c r="K57" s="984">
        <v>11000</v>
      </c>
      <c r="L57" s="1110">
        <f t="shared" si="2"/>
        <v>62000</v>
      </c>
      <c r="M57" s="635">
        <f>L57/F57*100</f>
        <v>100</v>
      </c>
      <c r="N57" s="636">
        <f t="shared" si="17"/>
        <v>632.94951410915928</v>
      </c>
      <c r="O57" s="936"/>
      <c r="P57" s="159"/>
      <c r="Q57" s="159"/>
      <c r="R57" s="159"/>
      <c r="S57" s="159"/>
      <c r="T57" s="159"/>
      <c r="U57" s="159"/>
      <c r="V57" s="159"/>
    </row>
    <row r="58" spans="1:22" s="102" customFormat="1" ht="28.5" customHeight="1" x14ac:dyDescent="0.2">
      <c r="A58" s="603" t="s">
        <v>135</v>
      </c>
      <c r="B58" s="1340" t="s">
        <v>136</v>
      </c>
      <c r="C58" s="1341"/>
      <c r="D58" s="448">
        <v>0</v>
      </c>
      <c r="E58" s="447">
        <v>1000</v>
      </c>
      <c r="F58" s="448">
        <v>0</v>
      </c>
      <c r="G58" s="449">
        <v>0</v>
      </c>
      <c r="H58" s="450">
        <v>0</v>
      </c>
      <c r="I58" s="654">
        <v>0</v>
      </c>
      <c r="J58" s="984">
        <v>0</v>
      </c>
      <c r="K58" s="984">
        <v>0</v>
      </c>
      <c r="L58" s="1110">
        <f t="shared" si="2"/>
        <v>0</v>
      </c>
      <c r="M58" s="635" t="s">
        <v>60</v>
      </c>
      <c r="N58" s="636" t="s">
        <v>60</v>
      </c>
      <c r="O58" s="936"/>
      <c r="P58" s="159"/>
      <c r="Q58" s="159"/>
      <c r="R58" s="159"/>
      <c r="S58" s="159"/>
      <c r="T58" s="159"/>
      <c r="U58" s="159"/>
      <c r="V58" s="159"/>
    </row>
    <row r="59" spans="1:22" s="102" customFormat="1" ht="20.100000000000001" customHeight="1" x14ac:dyDescent="0.2">
      <c r="A59" s="631">
        <v>3421</v>
      </c>
      <c r="B59" s="1340" t="s">
        <v>137</v>
      </c>
      <c r="C59" s="1341"/>
      <c r="D59" s="448">
        <v>0</v>
      </c>
      <c r="E59" s="447">
        <v>100</v>
      </c>
      <c r="F59" s="448">
        <v>0</v>
      </c>
      <c r="G59" s="449">
        <v>3450</v>
      </c>
      <c r="H59" s="450">
        <v>0</v>
      </c>
      <c r="I59" s="654">
        <v>0</v>
      </c>
      <c r="J59" s="984">
        <v>0</v>
      </c>
      <c r="K59" s="984">
        <v>0</v>
      </c>
      <c r="L59" s="1110">
        <f t="shared" si="2"/>
        <v>0</v>
      </c>
      <c r="M59" s="635" t="s">
        <v>60</v>
      </c>
      <c r="N59" s="636">
        <f t="shared" si="17"/>
        <v>0</v>
      </c>
      <c r="O59" s="936"/>
      <c r="P59" s="159"/>
      <c r="Q59" s="159"/>
      <c r="R59" s="159"/>
      <c r="S59" s="159"/>
      <c r="T59" s="159"/>
      <c r="U59" s="159"/>
      <c r="V59" s="159"/>
    </row>
    <row r="60" spans="1:22" s="88" customFormat="1" ht="15" customHeight="1" x14ac:dyDescent="0.2">
      <c r="A60" s="632" t="s">
        <v>96</v>
      </c>
      <c r="B60" s="1353" t="s">
        <v>139</v>
      </c>
      <c r="C60" s="1350"/>
      <c r="D60" s="433">
        <v>57500</v>
      </c>
      <c r="E60" s="98">
        <v>28415.439999999999</v>
      </c>
      <c r="F60" s="433">
        <v>62000</v>
      </c>
      <c r="G60" s="81">
        <f>+G49</f>
        <v>64805.960000000006</v>
      </c>
      <c r="H60" s="81">
        <f>+H49</f>
        <v>23460.84</v>
      </c>
      <c r="I60" s="83">
        <f>+I49</f>
        <v>37000</v>
      </c>
      <c r="J60" s="906">
        <f>+J49</f>
        <v>14000</v>
      </c>
      <c r="K60" s="906">
        <f>+K49</f>
        <v>11000</v>
      </c>
      <c r="L60" s="1071">
        <f t="shared" si="2"/>
        <v>62000</v>
      </c>
      <c r="M60" s="637">
        <f t="shared" si="3"/>
        <v>100</v>
      </c>
      <c r="N60" s="638">
        <f t="shared" si="4"/>
        <v>95.670213048306039</v>
      </c>
      <c r="O60" s="936"/>
      <c r="P60" s="87"/>
      <c r="Q60" s="87"/>
      <c r="R60" s="87"/>
      <c r="S60" s="87"/>
      <c r="T60" s="87"/>
      <c r="U60" s="87"/>
      <c r="V60" s="87"/>
    </row>
    <row r="61" spans="1:22" s="70" customFormat="1" ht="24" customHeight="1" x14ac:dyDescent="0.2">
      <c r="A61" s="1342" t="s">
        <v>409</v>
      </c>
      <c r="B61" s="1343"/>
      <c r="C61" s="1303"/>
      <c r="D61" s="473">
        <f>SUM(D62:D65)</f>
        <v>16000</v>
      </c>
      <c r="E61" s="472">
        <f>SUM(E62:E65)</f>
        <v>13067.11</v>
      </c>
      <c r="F61" s="473">
        <f t="shared" ref="F61:K61" si="18">SUM(F62:F65)</f>
        <v>16000</v>
      </c>
      <c r="G61" s="474">
        <f t="shared" si="18"/>
        <v>19253.66</v>
      </c>
      <c r="H61" s="475">
        <f t="shared" si="18"/>
        <v>0</v>
      </c>
      <c r="I61" s="530">
        <f t="shared" si="18"/>
        <v>0</v>
      </c>
      <c r="J61" s="905">
        <f t="shared" si="18"/>
        <v>13068</v>
      </c>
      <c r="K61" s="1087">
        <f t="shared" si="18"/>
        <v>0</v>
      </c>
      <c r="L61" s="1076">
        <f>SUM(I61:K61)</f>
        <v>13068</v>
      </c>
      <c r="M61" s="639">
        <f t="shared" si="3"/>
        <v>81.674999999999997</v>
      </c>
      <c r="N61" s="640">
        <f t="shared" si="4"/>
        <v>67.872809637232606</v>
      </c>
      <c r="O61" s="936"/>
      <c r="P61" s="461"/>
      <c r="Q61" s="461"/>
      <c r="R61" s="461"/>
      <c r="S61" s="461"/>
      <c r="T61" s="461"/>
      <c r="U61" s="461"/>
      <c r="V61" s="461"/>
    </row>
    <row r="62" spans="1:22" s="102" customFormat="1" ht="30" customHeight="1" x14ac:dyDescent="0.2">
      <c r="A62" s="603">
        <v>3114</v>
      </c>
      <c r="B62" s="1340" t="s">
        <v>130</v>
      </c>
      <c r="C62" s="1341"/>
      <c r="D62" s="479">
        <v>0</v>
      </c>
      <c r="E62" s="447">
        <v>364.62</v>
      </c>
      <c r="F62" s="479">
        <v>0</v>
      </c>
      <c r="G62" s="451">
        <v>0</v>
      </c>
      <c r="H62" s="480">
        <v>0</v>
      </c>
      <c r="I62" s="654">
        <v>0</v>
      </c>
      <c r="J62" s="1152">
        <v>0</v>
      </c>
      <c r="K62" s="1153">
        <v>0</v>
      </c>
      <c r="L62" s="1110">
        <f t="shared" ref="L62" si="19">SUM(I62:K62)</f>
        <v>0</v>
      </c>
      <c r="M62" s="635" t="s">
        <v>60</v>
      </c>
      <c r="N62" s="636" t="s">
        <v>60</v>
      </c>
      <c r="O62" s="936"/>
      <c r="P62" s="159"/>
      <c r="Q62" s="159"/>
      <c r="R62" s="159"/>
      <c r="S62" s="159"/>
      <c r="T62" s="159"/>
      <c r="U62" s="159"/>
      <c r="V62" s="159"/>
    </row>
    <row r="63" spans="1:22" s="102" customFormat="1" ht="20.100000000000001" customHeight="1" x14ac:dyDescent="0.2">
      <c r="A63" s="629">
        <v>3122</v>
      </c>
      <c r="B63" s="1340" t="s">
        <v>117</v>
      </c>
      <c r="C63" s="1341"/>
      <c r="D63" s="448">
        <v>0</v>
      </c>
      <c r="E63" s="447">
        <v>3789.07</v>
      </c>
      <c r="F63" s="448">
        <v>0</v>
      </c>
      <c r="G63" s="451">
        <v>0</v>
      </c>
      <c r="H63" s="452">
        <v>0</v>
      </c>
      <c r="I63" s="1154">
        <v>0</v>
      </c>
      <c r="J63" s="1152">
        <v>0</v>
      </c>
      <c r="K63" s="1153">
        <v>0</v>
      </c>
      <c r="L63" s="1110">
        <f t="shared" si="2"/>
        <v>0</v>
      </c>
      <c r="M63" s="635" t="s">
        <v>60</v>
      </c>
      <c r="N63" s="636" t="s">
        <v>60</v>
      </c>
      <c r="O63" s="936"/>
      <c r="P63" s="159"/>
      <c r="Q63" s="159"/>
      <c r="R63" s="159"/>
      <c r="S63" s="159"/>
      <c r="T63" s="159"/>
      <c r="U63" s="159"/>
      <c r="V63" s="159"/>
    </row>
    <row r="64" spans="1:22" s="102" customFormat="1" ht="30" customHeight="1" x14ac:dyDescent="0.2">
      <c r="A64" s="629">
        <v>3123</v>
      </c>
      <c r="B64" s="1340" t="s">
        <v>131</v>
      </c>
      <c r="C64" s="1341"/>
      <c r="D64" s="448">
        <v>0</v>
      </c>
      <c r="E64" s="447">
        <v>8913.42</v>
      </c>
      <c r="F64" s="448">
        <v>0</v>
      </c>
      <c r="G64" s="451">
        <v>0</v>
      </c>
      <c r="H64" s="452">
        <v>0</v>
      </c>
      <c r="I64" s="1154">
        <v>0</v>
      </c>
      <c r="J64" s="1152">
        <v>0</v>
      </c>
      <c r="K64" s="1153">
        <v>0</v>
      </c>
      <c r="L64" s="1110">
        <f t="shared" si="2"/>
        <v>0</v>
      </c>
      <c r="M64" s="635" t="s">
        <v>60</v>
      </c>
      <c r="N64" s="636" t="s">
        <v>60</v>
      </c>
      <c r="O64" s="936"/>
      <c r="P64" s="159"/>
      <c r="Q64" s="159"/>
      <c r="R64" s="159"/>
      <c r="S64" s="159"/>
      <c r="T64" s="159"/>
      <c r="U64" s="159"/>
      <c r="V64" s="159"/>
    </row>
    <row r="65" spans="1:22" s="102" customFormat="1" ht="20.100000000000001" customHeight="1" x14ac:dyDescent="0.2">
      <c r="A65" s="629">
        <v>3269</v>
      </c>
      <c r="B65" s="1340" t="s">
        <v>134</v>
      </c>
      <c r="C65" s="1341"/>
      <c r="D65" s="448">
        <v>16000</v>
      </c>
      <c r="E65" s="447">
        <v>0</v>
      </c>
      <c r="F65" s="448">
        <v>16000</v>
      </c>
      <c r="G65" s="989">
        <v>19253.66</v>
      </c>
      <c r="H65" s="990">
        <v>0</v>
      </c>
      <c r="I65" s="1154">
        <v>0</v>
      </c>
      <c r="J65" s="1151">
        <v>13068</v>
      </c>
      <c r="K65" s="1153">
        <v>0</v>
      </c>
      <c r="L65" s="1110">
        <f t="shared" si="2"/>
        <v>13068</v>
      </c>
      <c r="M65" s="635">
        <f t="shared" si="3"/>
        <v>81.674999999999997</v>
      </c>
      <c r="N65" s="636">
        <f t="shared" si="4"/>
        <v>67.872809637232606</v>
      </c>
      <c r="O65" s="936"/>
      <c r="P65" s="159"/>
      <c r="Q65" s="159"/>
      <c r="R65" s="159"/>
      <c r="S65" s="159"/>
      <c r="T65" s="159"/>
      <c r="U65" s="159"/>
      <c r="V65" s="159"/>
    </row>
    <row r="66" spans="1:22" s="70" customFormat="1" ht="24" customHeight="1" x14ac:dyDescent="0.2">
      <c r="A66" s="1342" t="s">
        <v>144</v>
      </c>
      <c r="B66" s="1343"/>
      <c r="C66" s="1303"/>
      <c r="D66" s="464">
        <f>SUM(D67:D70)</f>
        <v>1500</v>
      </c>
      <c r="E66" s="463">
        <f>SUM(E67:E70)</f>
        <v>953</v>
      </c>
      <c r="F66" s="464">
        <f t="shared" ref="F66:K66" si="20">SUM(F67:F70)</f>
        <v>1500</v>
      </c>
      <c r="G66" s="470">
        <f t="shared" si="20"/>
        <v>2047</v>
      </c>
      <c r="H66" s="465">
        <f t="shared" si="20"/>
        <v>1289.5899999999999</v>
      </c>
      <c r="I66" s="1155">
        <f t="shared" si="20"/>
        <v>0</v>
      </c>
      <c r="J66" s="531">
        <f t="shared" si="20"/>
        <v>0</v>
      </c>
      <c r="K66" s="1122">
        <f t="shared" si="20"/>
        <v>1500</v>
      </c>
      <c r="L66" s="1076">
        <f>SUM(I66:K66)</f>
        <v>1500</v>
      </c>
      <c r="M66" s="641">
        <f t="shared" si="3"/>
        <v>100</v>
      </c>
      <c r="N66" s="642">
        <f t="shared" si="4"/>
        <v>73.277967757694185</v>
      </c>
      <c r="O66" s="936"/>
      <c r="P66" s="461"/>
      <c r="Q66" s="461"/>
      <c r="R66" s="461"/>
      <c r="S66" s="461"/>
      <c r="T66" s="461"/>
      <c r="U66" s="461"/>
      <c r="V66" s="461"/>
    </row>
    <row r="67" spans="1:22" s="102" customFormat="1" ht="20.100000000000001" customHeight="1" x14ac:dyDescent="0.2">
      <c r="A67" s="603">
        <v>3121</v>
      </c>
      <c r="B67" s="1340" t="s">
        <v>116</v>
      </c>
      <c r="C67" s="1341"/>
      <c r="D67" s="479">
        <v>0</v>
      </c>
      <c r="E67" s="447">
        <v>129</v>
      </c>
      <c r="F67" s="479">
        <v>0</v>
      </c>
      <c r="G67" s="989">
        <v>490.52</v>
      </c>
      <c r="H67" s="990">
        <v>473.02</v>
      </c>
      <c r="I67" s="1150">
        <v>0</v>
      </c>
      <c r="J67" s="1151">
        <v>0</v>
      </c>
      <c r="K67" s="1151">
        <v>0</v>
      </c>
      <c r="L67" s="1110">
        <f t="shared" ref="L67" si="21">SUM(I67:K67)</f>
        <v>0</v>
      </c>
      <c r="M67" s="635" t="s">
        <v>60</v>
      </c>
      <c r="N67" s="636">
        <f t="shared" ref="N67:N69" si="22">L67/G67*100</f>
        <v>0</v>
      </c>
      <c r="O67" s="936"/>
      <c r="P67" s="159"/>
      <c r="Q67" s="159"/>
      <c r="R67" s="159"/>
      <c r="S67" s="159"/>
      <c r="T67" s="159"/>
      <c r="U67" s="159"/>
      <c r="V67" s="159"/>
    </row>
    <row r="68" spans="1:22" s="102" customFormat="1" ht="20.100000000000001" customHeight="1" x14ac:dyDescent="0.2">
      <c r="A68" s="603">
        <v>3122</v>
      </c>
      <c r="B68" s="1340" t="s">
        <v>117</v>
      </c>
      <c r="C68" s="1341"/>
      <c r="D68" s="479">
        <v>0</v>
      </c>
      <c r="E68" s="447">
        <v>350</v>
      </c>
      <c r="F68" s="479">
        <v>0</v>
      </c>
      <c r="G68" s="989">
        <v>412.02</v>
      </c>
      <c r="H68" s="990">
        <v>407.52</v>
      </c>
      <c r="I68" s="1150">
        <v>0</v>
      </c>
      <c r="J68" s="1151">
        <v>0</v>
      </c>
      <c r="K68" s="1151">
        <v>0</v>
      </c>
      <c r="L68" s="1110">
        <f t="shared" ref="L68" si="23">SUM(I68:K68)</f>
        <v>0</v>
      </c>
      <c r="M68" s="635" t="s">
        <v>60</v>
      </c>
      <c r="N68" s="636">
        <f t="shared" si="22"/>
        <v>0</v>
      </c>
      <c r="O68" s="936"/>
      <c r="P68" s="159"/>
      <c r="Q68" s="159"/>
      <c r="R68" s="159"/>
      <c r="S68" s="159"/>
      <c r="T68" s="159"/>
      <c r="U68" s="159"/>
      <c r="V68" s="159"/>
    </row>
    <row r="69" spans="1:22" s="102" customFormat="1" ht="30" customHeight="1" x14ac:dyDescent="0.2">
      <c r="A69" s="603">
        <v>3123</v>
      </c>
      <c r="B69" s="1340" t="s">
        <v>131</v>
      </c>
      <c r="C69" s="1341"/>
      <c r="D69" s="432">
        <v>0</v>
      </c>
      <c r="E69" s="121">
        <v>474</v>
      </c>
      <c r="F69" s="432">
        <v>0</v>
      </c>
      <c r="G69" s="987">
        <v>417</v>
      </c>
      <c r="H69" s="991">
        <v>409.05</v>
      </c>
      <c r="I69" s="1150">
        <v>0</v>
      </c>
      <c r="J69" s="1151">
        <v>0</v>
      </c>
      <c r="K69" s="1151">
        <v>0</v>
      </c>
      <c r="L69" s="1110">
        <f t="shared" si="2"/>
        <v>0</v>
      </c>
      <c r="M69" s="635" t="s">
        <v>60</v>
      </c>
      <c r="N69" s="636">
        <f t="shared" si="22"/>
        <v>0</v>
      </c>
      <c r="O69" s="936"/>
      <c r="P69" s="159"/>
      <c r="Q69" s="159"/>
      <c r="R69" s="159"/>
      <c r="S69" s="159"/>
      <c r="T69" s="159"/>
      <c r="U69" s="159"/>
      <c r="V69" s="159"/>
    </row>
    <row r="70" spans="1:22" s="102" customFormat="1" ht="20.100000000000001" customHeight="1" x14ac:dyDescent="0.2">
      <c r="A70" s="603">
        <v>3291</v>
      </c>
      <c r="B70" s="1340" t="s">
        <v>295</v>
      </c>
      <c r="C70" s="1341"/>
      <c r="D70" s="432">
        <v>1500</v>
      </c>
      <c r="E70" s="121">
        <v>0</v>
      </c>
      <c r="F70" s="432">
        <v>1500</v>
      </c>
      <c r="G70" s="987">
        <v>727.46</v>
      </c>
      <c r="H70" s="991">
        <v>0</v>
      </c>
      <c r="I70" s="1150">
        <v>0</v>
      </c>
      <c r="J70" s="1151">
        <v>0</v>
      </c>
      <c r="K70" s="1151">
        <v>1500</v>
      </c>
      <c r="L70" s="1110">
        <f t="shared" si="2"/>
        <v>1500</v>
      </c>
      <c r="M70" s="635">
        <f t="shared" si="3"/>
        <v>100</v>
      </c>
      <c r="N70" s="636">
        <f t="shared" si="4"/>
        <v>206.19690429714348</v>
      </c>
      <c r="O70" s="936"/>
      <c r="P70" s="159"/>
      <c r="Q70" s="159"/>
      <c r="R70" s="159"/>
      <c r="S70" s="159"/>
      <c r="T70" s="159"/>
      <c r="U70" s="159"/>
      <c r="V70" s="159"/>
    </row>
    <row r="71" spans="1:22" s="70" customFormat="1" ht="24" customHeight="1" x14ac:dyDescent="0.2">
      <c r="A71" s="1342" t="s">
        <v>145</v>
      </c>
      <c r="B71" s="1343"/>
      <c r="C71" s="1303"/>
      <c r="D71" s="464">
        <f t="shared" ref="D71:K71" si="24">SUM(D72:D78)</f>
        <v>1500</v>
      </c>
      <c r="E71" s="463">
        <f t="shared" si="24"/>
        <v>1536.35</v>
      </c>
      <c r="F71" s="464">
        <f t="shared" si="24"/>
        <v>1500</v>
      </c>
      <c r="G71" s="470">
        <f t="shared" si="24"/>
        <v>1500.0000000000002</v>
      </c>
      <c r="H71" s="465">
        <f t="shared" si="24"/>
        <v>1485.7600000000002</v>
      </c>
      <c r="I71" s="1155">
        <f t="shared" si="24"/>
        <v>0</v>
      </c>
      <c r="J71" s="531">
        <f t="shared" si="24"/>
        <v>1515</v>
      </c>
      <c r="K71" s="1122">
        <f t="shared" si="24"/>
        <v>0</v>
      </c>
      <c r="L71" s="1076">
        <f>SUM(I71:K71)</f>
        <v>1515</v>
      </c>
      <c r="M71" s="641">
        <f t="shared" si="3"/>
        <v>101</v>
      </c>
      <c r="N71" s="642">
        <f t="shared" si="4"/>
        <v>100.99999999999997</v>
      </c>
      <c r="O71" s="936"/>
      <c r="P71" s="461"/>
      <c r="Q71" s="461"/>
      <c r="R71" s="461"/>
      <c r="S71" s="461"/>
      <c r="T71" s="461"/>
      <c r="U71" s="461"/>
      <c r="V71" s="461"/>
    </row>
    <row r="72" spans="1:22" s="102" customFormat="1" ht="30" customHeight="1" x14ac:dyDescent="0.2">
      <c r="A72" s="603">
        <v>3114</v>
      </c>
      <c r="B72" s="1340" t="s">
        <v>130</v>
      </c>
      <c r="C72" s="1341"/>
      <c r="D72" s="479">
        <v>0</v>
      </c>
      <c r="E72" s="447">
        <v>139.38</v>
      </c>
      <c r="F72" s="479">
        <v>0</v>
      </c>
      <c r="G72" s="989">
        <v>188.25</v>
      </c>
      <c r="H72" s="989">
        <v>188.25</v>
      </c>
      <c r="I72" s="1150">
        <v>0</v>
      </c>
      <c r="J72" s="1151">
        <v>0</v>
      </c>
      <c r="K72" s="1151">
        <v>0</v>
      </c>
      <c r="L72" s="1110">
        <f t="shared" si="2"/>
        <v>0</v>
      </c>
      <c r="M72" s="635" t="s">
        <v>60</v>
      </c>
      <c r="N72" s="636">
        <f t="shared" ref="N72:N76" si="25">L72/G72*100</f>
        <v>0</v>
      </c>
      <c r="O72" s="936"/>
      <c r="P72" s="159"/>
      <c r="Q72" s="159"/>
      <c r="R72" s="159"/>
      <c r="S72" s="159"/>
      <c r="T72" s="159"/>
      <c r="U72" s="159"/>
      <c r="V72" s="159"/>
    </row>
    <row r="73" spans="1:22" s="102" customFormat="1" ht="20.100000000000001" customHeight="1" x14ac:dyDescent="0.2">
      <c r="A73" s="603">
        <v>3121</v>
      </c>
      <c r="B73" s="1340" t="s">
        <v>116</v>
      </c>
      <c r="C73" s="1341"/>
      <c r="D73" s="479">
        <v>0</v>
      </c>
      <c r="E73" s="447">
        <v>307.60000000000002</v>
      </c>
      <c r="F73" s="479">
        <v>0</v>
      </c>
      <c r="G73" s="989">
        <v>416.24</v>
      </c>
      <c r="H73" s="989">
        <v>416.24</v>
      </c>
      <c r="I73" s="1150">
        <v>0</v>
      </c>
      <c r="J73" s="1151">
        <v>0</v>
      </c>
      <c r="K73" s="1151">
        <v>0</v>
      </c>
      <c r="L73" s="1110">
        <f t="shared" si="2"/>
        <v>0</v>
      </c>
      <c r="M73" s="635" t="s">
        <v>60</v>
      </c>
      <c r="N73" s="636">
        <f t="shared" si="25"/>
        <v>0</v>
      </c>
      <c r="O73" s="936"/>
      <c r="P73" s="159"/>
      <c r="Q73" s="159"/>
      <c r="R73" s="159"/>
      <c r="S73" s="159"/>
      <c r="T73" s="159"/>
      <c r="U73" s="159"/>
      <c r="V73" s="159"/>
    </row>
    <row r="74" spans="1:22" s="102" customFormat="1" ht="20.100000000000001" customHeight="1" x14ac:dyDescent="0.2">
      <c r="A74" s="603">
        <v>3122</v>
      </c>
      <c r="B74" s="1340" t="s">
        <v>117</v>
      </c>
      <c r="C74" s="1341"/>
      <c r="D74" s="479">
        <v>0</v>
      </c>
      <c r="E74" s="447">
        <v>399.53</v>
      </c>
      <c r="F74" s="479">
        <v>0</v>
      </c>
      <c r="G74" s="989">
        <v>450.85</v>
      </c>
      <c r="H74" s="989">
        <v>450.85</v>
      </c>
      <c r="I74" s="1150">
        <v>0</v>
      </c>
      <c r="J74" s="1151">
        <v>0</v>
      </c>
      <c r="K74" s="1151">
        <v>0</v>
      </c>
      <c r="L74" s="1110">
        <f t="shared" si="2"/>
        <v>0</v>
      </c>
      <c r="M74" s="635" t="s">
        <v>60</v>
      </c>
      <c r="N74" s="636">
        <f t="shared" si="25"/>
        <v>0</v>
      </c>
      <c r="O74" s="936"/>
      <c r="P74" s="159"/>
      <c r="Q74" s="159"/>
      <c r="R74" s="159"/>
      <c r="S74" s="159"/>
      <c r="T74" s="159"/>
      <c r="U74" s="159"/>
      <c r="V74" s="159"/>
    </row>
    <row r="75" spans="1:22" s="102" customFormat="1" ht="30" customHeight="1" x14ac:dyDescent="0.2">
      <c r="A75" s="603">
        <v>3123</v>
      </c>
      <c r="B75" s="1340" t="s">
        <v>131</v>
      </c>
      <c r="C75" s="1341"/>
      <c r="D75" s="479">
        <v>0</v>
      </c>
      <c r="E75" s="447">
        <v>383.28</v>
      </c>
      <c r="F75" s="479">
        <v>0</v>
      </c>
      <c r="G75" s="989">
        <v>399.42</v>
      </c>
      <c r="H75" s="989">
        <v>399.42</v>
      </c>
      <c r="I75" s="1150">
        <v>0</v>
      </c>
      <c r="J75" s="1151">
        <v>0</v>
      </c>
      <c r="K75" s="1151">
        <v>0</v>
      </c>
      <c r="L75" s="1110">
        <f t="shared" si="2"/>
        <v>0</v>
      </c>
      <c r="M75" s="635" t="s">
        <v>60</v>
      </c>
      <c r="N75" s="636">
        <f t="shared" si="25"/>
        <v>0</v>
      </c>
      <c r="O75" s="936"/>
      <c r="P75" s="159"/>
      <c r="Q75" s="159"/>
      <c r="R75" s="159"/>
      <c r="S75" s="159"/>
      <c r="T75" s="159"/>
      <c r="U75" s="159"/>
      <c r="V75" s="159"/>
    </row>
    <row r="76" spans="1:22" s="102" customFormat="1" ht="20.100000000000001" customHeight="1" x14ac:dyDescent="0.2">
      <c r="A76" s="603">
        <v>3133</v>
      </c>
      <c r="B76" s="1340" t="s">
        <v>118</v>
      </c>
      <c r="C76" s="1341"/>
      <c r="D76" s="479">
        <v>0</v>
      </c>
      <c r="E76" s="447">
        <v>53.6</v>
      </c>
      <c r="F76" s="479">
        <v>0</v>
      </c>
      <c r="G76" s="989">
        <v>31</v>
      </c>
      <c r="H76" s="989">
        <v>31</v>
      </c>
      <c r="I76" s="1150">
        <v>0</v>
      </c>
      <c r="J76" s="1151">
        <v>0</v>
      </c>
      <c r="K76" s="1151">
        <v>0</v>
      </c>
      <c r="L76" s="1110">
        <f t="shared" si="2"/>
        <v>0</v>
      </c>
      <c r="M76" s="635" t="s">
        <v>60</v>
      </c>
      <c r="N76" s="636">
        <f t="shared" si="25"/>
        <v>0</v>
      </c>
      <c r="O76" s="936"/>
      <c r="P76" s="159"/>
      <c r="Q76" s="159"/>
      <c r="R76" s="159"/>
      <c r="S76" s="159"/>
      <c r="T76" s="159"/>
      <c r="U76" s="159"/>
      <c r="V76" s="159"/>
    </row>
    <row r="77" spans="1:22" s="102" customFormat="1" ht="30" customHeight="1" x14ac:dyDescent="0.2">
      <c r="A77" s="603">
        <v>3294</v>
      </c>
      <c r="B77" s="1340" t="s">
        <v>296</v>
      </c>
      <c r="C77" s="1341"/>
      <c r="D77" s="479">
        <v>0</v>
      </c>
      <c r="E77" s="447">
        <v>240</v>
      </c>
      <c r="F77" s="479">
        <v>0</v>
      </c>
      <c r="G77" s="989">
        <v>0</v>
      </c>
      <c r="H77" s="989">
        <v>0</v>
      </c>
      <c r="I77" s="1150">
        <v>0</v>
      </c>
      <c r="J77" s="1151">
        <v>0</v>
      </c>
      <c r="K77" s="1151">
        <v>0</v>
      </c>
      <c r="L77" s="1110">
        <f t="shared" si="2"/>
        <v>0</v>
      </c>
      <c r="M77" s="635" t="s">
        <v>60</v>
      </c>
      <c r="N77" s="636" t="s">
        <v>60</v>
      </c>
      <c r="O77" s="936"/>
      <c r="P77" s="159"/>
      <c r="Q77" s="159"/>
      <c r="R77" s="159"/>
      <c r="S77" s="159"/>
      <c r="T77" s="159"/>
      <c r="U77" s="159"/>
      <c r="V77" s="159"/>
    </row>
    <row r="78" spans="1:22" s="102" customFormat="1" ht="30" customHeight="1" x14ac:dyDescent="0.2">
      <c r="A78" s="603">
        <v>3541</v>
      </c>
      <c r="B78" s="1340" t="s">
        <v>297</v>
      </c>
      <c r="C78" s="1341"/>
      <c r="D78" s="479">
        <v>1500</v>
      </c>
      <c r="E78" s="447">
        <v>12.96</v>
      </c>
      <c r="F78" s="479">
        <v>1500</v>
      </c>
      <c r="G78" s="989">
        <v>14.24</v>
      </c>
      <c r="H78" s="990">
        <v>0</v>
      </c>
      <c r="I78" s="1150">
        <v>0</v>
      </c>
      <c r="J78" s="1151">
        <v>1515</v>
      </c>
      <c r="K78" s="1151">
        <v>0</v>
      </c>
      <c r="L78" s="1110">
        <f t="shared" si="2"/>
        <v>1515</v>
      </c>
      <c r="M78" s="635">
        <f>L78/F78*100</f>
        <v>101</v>
      </c>
      <c r="N78" s="636">
        <f t="shared" ref="N78" si="26">L78/G78*100</f>
        <v>10639.044943820223</v>
      </c>
      <c r="O78" s="936"/>
      <c r="P78" s="159"/>
      <c r="Q78" s="159"/>
      <c r="R78" s="159"/>
      <c r="S78" s="159"/>
      <c r="T78" s="159"/>
      <c r="U78" s="159"/>
      <c r="V78" s="159"/>
    </row>
    <row r="79" spans="1:22" s="70" customFormat="1" ht="24" customHeight="1" x14ac:dyDescent="0.2">
      <c r="A79" s="481" t="s">
        <v>422</v>
      </c>
      <c r="B79" s="625"/>
      <c r="C79" s="673"/>
      <c r="D79" s="464">
        <f t="shared" ref="D79" si="27">SUM(D80:D86)</f>
        <v>25865</v>
      </c>
      <c r="E79" s="463">
        <f>SUM(E80:E86)</f>
        <v>26556.94</v>
      </c>
      <c r="F79" s="464">
        <f t="shared" ref="F79:K79" si="28">SUM(F80:F86)</f>
        <v>28451</v>
      </c>
      <c r="G79" s="470">
        <f t="shared" si="28"/>
        <v>29776.440000000002</v>
      </c>
      <c r="H79" s="465">
        <f t="shared" si="28"/>
        <v>23166.910000000003</v>
      </c>
      <c r="I79" s="530">
        <f t="shared" si="28"/>
        <v>28451</v>
      </c>
      <c r="J79" s="531">
        <f t="shared" si="28"/>
        <v>0</v>
      </c>
      <c r="K79" s="1122">
        <f t="shared" si="28"/>
        <v>0</v>
      </c>
      <c r="L79" s="1076">
        <f>SUM(I79:K79)</f>
        <v>28451</v>
      </c>
      <c r="M79" s="641">
        <f>L79/F79*100</f>
        <v>100</v>
      </c>
      <c r="N79" s="642">
        <f>L79/G79*100</f>
        <v>95.548695545874523</v>
      </c>
      <c r="O79" s="936"/>
      <c r="P79" s="461"/>
      <c r="Q79" s="461"/>
      <c r="R79" s="461"/>
      <c r="S79" s="461"/>
      <c r="T79" s="461"/>
      <c r="U79" s="461"/>
      <c r="V79" s="461"/>
    </row>
    <row r="80" spans="1:22" s="102" customFormat="1" ht="30" customHeight="1" x14ac:dyDescent="0.2">
      <c r="A80" s="603">
        <v>3114</v>
      </c>
      <c r="B80" s="1340" t="s">
        <v>130</v>
      </c>
      <c r="C80" s="1341"/>
      <c r="D80" s="432">
        <v>0</v>
      </c>
      <c r="E80" s="121">
        <v>382.78</v>
      </c>
      <c r="F80" s="432">
        <v>0</v>
      </c>
      <c r="G80" s="119">
        <v>470.47</v>
      </c>
      <c r="H80" s="953">
        <v>470.47</v>
      </c>
      <c r="I80" s="654">
        <v>0</v>
      </c>
      <c r="J80" s="984">
        <v>0</v>
      </c>
      <c r="K80" s="984">
        <v>0</v>
      </c>
      <c r="L80" s="1110">
        <f>SUM(I80:K80)</f>
        <v>0</v>
      </c>
      <c r="M80" s="635" t="s">
        <v>60</v>
      </c>
      <c r="N80" s="636">
        <f t="shared" ref="N80" si="29">L80/G80*100</f>
        <v>0</v>
      </c>
      <c r="O80" s="936"/>
      <c r="P80" s="159"/>
      <c r="Q80" s="159"/>
      <c r="R80" s="159"/>
      <c r="S80" s="159"/>
      <c r="T80" s="159"/>
      <c r="U80" s="159"/>
      <c r="V80" s="159"/>
    </row>
    <row r="81" spans="1:23" s="102" customFormat="1" ht="20.100000000000001" customHeight="1" x14ac:dyDescent="0.2">
      <c r="A81" s="603">
        <v>3121</v>
      </c>
      <c r="B81" s="1340" t="s">
        <v>116</v>
      </c>
      <c r="C81" s="1341"/>
      <c r="D81" s="432">
        <v>1100</v>
      </c>
      <c r="E81" s="121">
        <v>1997.28</v>
      </c>
      <c r="F81" s="432">
        <v>1100</v>
      </c>
      <c r="G81" s="119">
        <v>737.39</v>
      </c>
      <c r="H81" s="119">
        <v>737.39</v>
      </c>
      <c r="I81" s="654">
        <v>1100</v>
      </c>
      <c r="J81" s="984">
        <v>0</v>
      </c>
      <c r="K81" s="984">
        <v>0</v>
      </c>
      <c r="L81" s="1110">
        <f t="shared" si="2"/>
        <v>1100</v>
      </c>
      <c r="M81" s="635">
        <f t="shared" si="3"/>
        <v>100</v>
      </c>
      <c r="N81" s="636">
        <f t="shared" si="4"/>
        <v>149.17479217239182</v>
      </c>
      <c r="O81" s="936"/>
      <c r="P81" s="159"/>
      <c r="Q81" s="159"/>
      <c r="R81" s="159"/>
      <c r="S81" s="159"/>
      <c r="T81" s="159"/>
      <c r="U81" s="159"/>
      <c r="V81" s="159"/>
    </row>
    <row r="82" spans="1:23" s="102" customFormat="1" ht="20.100000000000001" customHeight="1" x14ac:dyDescent="0.2">
      <c r="A82" s="603">
        <v>3122</v>
      </c>
      <c r="B82" s="1340" t="s">
        <v>117</v>
      </c>
      <c r="C82" s="1341"/>
      <c r="D82" s="432">
        <v>1959</v>
      </c>
      <c r="E82" s="121">
        <v>13.24</v>
      </c>
      <c r="F82" s="432">
        <v>1959</v>
      </c>
      <c r="G82" s="119">
        <v>306.35000000000002</v>
      </c>
      <c r="H82" s="119">
        <v>306.35000000000002</v>
      </c>
      <c r="I82" s="654">
        <v>1959</v>
      </c>
      <c r="J82" s="984">
        <v>0</v>
      </c>
      <c r="K82" s="984">
        <v>0</v>
      </c>
      <c r="L82" s="1110">
        <f t="shared" si="2"/>
        <v>1959</v>
      </c>
      <c r="M82" s="635">
        <f t="shared" si="3"/>
        <v>100</v>
      </c>
      <c r="N82" s="636">
        <f t="shared" si="4"/>
        <v>639.46466459931446</v>
      </c>
      <c r="O82" s="936"/>
      <c r="P82" s="159"/>
      <c r="Q82" s="159"/>
      <c r="R82" s="159"/>
      <c r="S82" s="159"/>
      <c r="T82" s="159"/>
      <c r="U82" s="159"/>
      <c r="V82" s="159"/>
    </row>
    <row r="83" spans="1:23" s="102" customFormat="1" ht="30" customHeight="1" x14ac:dyDescent="0.2">
      <c r="A83" s="603">
        <v>3123</v>
      </c>
      <c r="B83" s="1340" t="s">
        <v>131</v>
      </c>
      <c r="C83" s="1341"/>
      <c r="D83" s="432">
        <v>3300</v>
      </c>
      <c r="E83" s="121">
        <v>3535.66</v>
      </c>
      <c r="F83" s="432">
        <v>3300</v>
      </c>
      <c r="G83" s="119">
        <v>1214.8</v>
      </c>
      <c r="H83" s="119">
        <v>1214.8</v>
      </c>
      <c r="I83" s="654">
        <v>3300</v>
      </c>
      <c r="J83" s="984">
        <v>0</v>
      </c>
      <c r="K83" s="984">
        <v>0</v>
      </c>
      <c r="L83" s="1110">
        <f t="shared" si="2"/>
        <v>3300</v>
      </c>
      <c r="M83" s="635">
        <f t="shared" si="3"/>
        <v>100</v>
      </c>
      <c r="N83" s="636">
        <f t="shared" si="4"/>
        <v>271.64965426407639</v>
      </c>
      <c r="O83" s="936"/>
      <c r="P83" s="159"/>
      <c r="Q83" s="159"/>
      <c r="R83" s="159"/>
      <c r="S83" s="159"/>
      <c r="T83" s="159"/>
      <c r="U83" s="159"/>
      <c r="V83" s="159"/>
    </row>
    <row r="84" spans="1:23" s="102" customFormat="1" ht="30" customHeight="1" x14ac:dyDescent="0.2">
      <c r="A84" s="603">
        <v>3125</v>
      </c>
      <c r="B84" s="1340" t="s">
        <v>254</v>
      </c>
      <c r="C84" s="1341"/>
      <c r="D84" s="432">
        <v>0</v>
      </c>
      <c r="E84" s="121">
        <v>1457</v>
      </c>
      <c r="F84" s="432">
        <v>0</v>
      </c>
      <c r="G84" s="119">
        <v>0</v>
      </c>
      <c r="H84" s="119">
        <v>0</v>
      </c>
      <c r="I84" s="654">
        <v>0</v>
      </c>
      <c r="J84" s="984">
        <v>0</v>
      </c>
      <c r="K84" s="984">
        <v>0</v>
      </c>
      <c r="L84" s="1110">
        <f t="shared" si="2"/>
        <v>0</v>
      </c>
      <c r="M84" s="635" t="s">
        <v>60</v>
      </c>
      <c r="N84" s="636" t="s">
        <v>60</v>
      </c>
      <c r="O84" s="936"/>
      <c r="P84" s="159"/>
      <c r="Q84" s="159"/>
      <c r="R84" s="159"/>
      <c r="S84" s="159"/>
      <c r="T84" s="159"/>
      <c r="U84" s="159"/>
      <c r="V84" s="159"/>
    </row>
    <row r="85" spans="1:23" s="102" customFormat="1" ht="20.100000000000001" customHeight="1" x14ac:dyDescent="0.2">
      <c r="A85" s="603" t="s">
        <v>141</v>
      </c>
      <c r="B85" s="1340" t="s">
        <v>134</v>
      </c>
      <c r="C85" s="1341"/>
      <c r="D85" s="432">
        <v>1475</v>
      </c>
      <c r="E85" s="121">
        <v>299.98</v>
      </c>
      <c r="F85" s="432">
        <v>2258</v>
      </c>
      <c r="G85" s="119">
        <v>6609.53</v>
      </c>
      <c r="H85" s="953">
        <v>0</v>
      </c>
      <c r="I85" s="654">
        <v>2258</v>
      </c>
      <c r="J85" s="984">
        <v>0</v>
      </c>
      <c r="K85" s="984">
        <v>0</v>
      </c>
      <c r="L85" s="1110">
        <f t="shared" si="2"/>
        <v>2258</v>
      </c>
      <c r="M85" s="635">
        <f t="shared" si="3"/>
        <v>100</v>
      </c>
      <c r="N85" s="636">
        <f t="shared" si="4"/>
        <v>34.1627922106413</v>
      </c>
      <c r="O85" s="936"/>
      <c r="P85" s="159"/>
      <c r="Q85" s="159"/>
      <c r="R85" s="159"/>
      <c r="S85" s="159"/>
      <c r="T85" s="159"/>
      <c r="U85" s="159"/>
      <c r="V85" s="159"/>
    </row>
    <row r="86" spans="1:23" s="102" customFormat="1" ht="30" customHeight="1" x14ac:dyDescent="0.2">
      <c r="A86" s="630" t="s">
        <v>135</v>
      </c>
      <c r="B86" s="1340" t="s">
        <v>136</v>
      </c>
      <c r="C86" s="1341"/>
      <c r="D86" s="432">
        <v>18031</v>
      </c>
      <c r="E86" s="121">
        <v>18871</v>
      </c>
      <c r="F86" s="432">
        <v>19834</v>
      </c>
      <c r="G86" s="119">
        <v>20437.900000000001</v>
      </c>
      <c r="H86" s="119">
        <v>20437.900000000001</v>
      </c>
      <c r="I86" s="654">
        <v>19834</v>
      </c>
      <c r="J86" s="984">
        <v>0</v>
      </c>
      <c r="K86" s="984">
        <v>0</v>
      </c>
      <c r="L86" s="1110">
        <f t="shared" si="2"/>
        <v>19834</v>
      </c>
      <c r="M86" s="635">
        <f t="shared" si="3"/>
        <v>100</v>
      </c>
      <c r="N86" s="636">
        <f t="shared" si="4"/>
        <v>97.045195445716033</v>
      </c>
      <c r="O86" s="936"/>
      <c r="P86" s="159"/>
      <c r="Q86" s="159"/>
      <c r="R86" s="159"/>
      <c r="S86" s="159"/>
      <c r="T86" s="159"/>
      <c r="U86" s="159"/>
      <c r="V86" s="159"/>
    </row>
    <row r="87" spans="1:23" ht="15" customHeight="1" x14ac:dyDescent="0.2">
      <c r="A87" s="679" t="s">
        <v>96</v>
      </c>
      <c r="B87" s="1354" t="s">
        <v>401</v>
      </c>
      <c r="C87" s="1355"/>
      <c r="D87" s="433">
        <v>25865</v>
      </c>
      <c r="E87" s="98">
        <v>26556.94</v>
      </c>
      <c r="F87" s="433">
        <v>28451</v>
      </c>
      <c r="G87" s="81">
        <v>29776.44</v>
      </c>
      <c r="H87" s="95">
        <v>23166.91</v>
      </c>
      <c r="I87" s="83">
        <f>+I79</f>
        <v>28451</v>
      </c>
      <c r="J87" s="984">
        <f>+J79</f>
        <v>0</v>
      </c>
      <c r="K87" s="984">
        <f>+K79</f>
        <v>0</v>
      </c>
      <c r="L87" s="1071">
        <f t="shared" si="2"/>
        <v>28451</v>
      </c>
      <c r="M87" s="637">
        <f t="shared" si="3"/>
        <v>100</v>
      </c>
      <c r="N87" s="638">
        <f t="shared" si="4"/>
        <v>95.548695545874523</v>
      </c>
      <c r="O87" s="936"/>
      <c r="P87" s="86"/>
      <c r="Q87" s="86"/>
      <c r="R87" s="86"/>
      <c r="S87" s="86"/>
      <c r="T87" s="86"/>
      <c r="U87" s="86"/>
      <c r="V87" s="86"/>
    </row>
    <row r="88" spans="1:23" s="69" customFormat="1" ht="20.100000000000001" customHeight="1" x14ac:dyDescent="0.2">
      <c r="A88" s="1344" t="s">
        <v>201</v>
      </c>
      <c r="B88" s="1345"/>
      <c r="C88" s="1321"/>
      <c r="D88" s="464">
        <f>SUM(D89:D95)</f>
        <v>105000</v>
      </c>
      <c r="E88" s="463">
        <f>SUM(E89:E95)</f>
        <v>45442.209999999992</v>
      </c>
      <c r="F88" s="464">
        <f t="shared" ref="F88:K88" si="30">SUM(F89:F95)</f>
        <v>155000</v>
      </c>
      <c r="G88" s="470">
        <f t="shared" si="30"/>
        <v>86362.89</v>
      </c>
      <c r="H88" s="465">
        <f t="shared" si="30"/>
        <v>60977.49</v>
      </c>
      <c r="I88" s="530">
        <f t="shared" si="30"/>
        <v>0</v>
      </c>
      <c r="J88" s="531">
        <f t="shared" si="30"/>
        <v>70000</v>
      </c>
      <c r="K88" s="1122">
        <f t="shared" si="30"/>
        <v>65000</v>
      </c>
      <c r="L88" s="1076">
        <f>SUM(I88:K88)</f>
        <v>135000</v>
      </c>
      <c r="M88" s="639">
        <f t="shared" si="3"/>
        <v>87.096774193548384</v>
      </c>
      <c r="N88" s="642">
        <f t="shared" si="4"/>
        <v>156.31714038286583</v>
      </c>
      <c r="O88" s="936"/>
      <c r="P88" s="478"/>
      <c r="Q88" s="478"/>
      <c r="R88" s="478"/>
      <c r="S88" s="478"/>
      <c r="T88" s="478"/>
      <c r="U88" s="478"/>
      <c r="V88" s="478"/>
    </row>
    <row r="89" spans="1:23" s="102" customFormat="1" ht="30" customHeight="1" x14ac:dyDescent="0.2">
      <c r="A89" s="603">
        <v>3114</v>
      </c>
      <c r="B89" s="1340" t="s">
        <v>130</v>
      </c>
      <c r="C89" s="1341"/>
      <c r="D89" s="432">
        <v>0</v>
      </c>
      <c r="E89" s="121">
        <v>154.38999999999999</v>
      </c>
      <c r="F89" s="432">
        <v>0</v>
      </c>
      <c r="G89" s="987">
        <v>2351.59</v>
      </c>
      <c r="H89" s="987">
        <v>2351.59</v>
      </c>
      <c r="I89" s="1150">
        <v>0</v>
      </c>
      <c r="J89" s="1151">
        <v>0</v>
      </c>
      <c r="K89" s="1151">
        <v>0</v>
      </c>
      <c r="L89" s="1110">
        <f>SUM(I89:K89)</f>
        <v>0</v>
      </c>
      <c r="M89" s="635" t="s">
        <v>60</v>
      </c>
      <c r="N89" s="636">
        <f t="shared" ref="N89:N94" si="31">L89/G89*100</f>
        <v>0</v>
      </c>
      <c r="O89" s="936"/>
      <c r="P89" s="159"/>
      <c r="Q89" s="159"/>
      <c r="R89" s="159"/>
      <c r="S89" s="159"/>
      <c r="T89" s="159"/>
      <c r="U89" s="159"/>
      <c r="V89" s="159"/>
    </row>
    <row r="90" spans="1:23" s="160" customFormat="1" ht="20.100000000000001" customHeight="1" x14ac:dyDescent="0.2">
      <c r="A90" s="603">
        <v>3121</v>
      </c>
      <c r="B90" s="1340" t="s">
        <v>116</v>
      </c>
      <c r="C90" s="1341"/>
      <c r="D90" s="448">
        <v>0</v>
      </c>
      <c r="E90" s="447">
        <v>13858.21</v>
      </c>
      <c r="F90" s="448">
        <v>0</v>
      </c>
      <c r="G90" s="989">
        <v>13672.44</v>
      </c>
      <c r="H90" s="989">
        <v>13672.44</v>
      </c>
      <c r="I90" s="1150">
        <v>0</v>
      </c>
      <c r="J90" s="1151">
        <v>0</v>
      </c>
      <c r="K90" s="1151">
        <v>0</v>
      </c>
      <c r="L90" s="1110">
        <f t="shared" ref="L90:L96" si="32">SUM(I90:K90)</f>
        <v>0</v>
      </c>
      <c r="M90" s="635" t="s">
        <v>60</v>
      </c>
      <c r="N90" s="636">
        <f t="shared" si="31"/>
        <v>0</v>
      </c>
      <c r="O90" s="936"/>
      <c r="P90" s="353"/>
      <c r="Q90" s="353"/>
      <c r="R90" s="353"/>
      <c r="S90" s="353"/>
      <c r="T90" s="353"/>
      <c r="U90" s="353"/>
      <c r="V90" s="353"/>
    </row>
    <row r="91" spans="1:23" s="160" customFormat="1" ht="20.100000000000001" customHeight="1" x14ac:dyDescent="0.2">
      <c r="A91" s="603">
        <v>3122</v>
      </c>
      <c r="B91" s="1340" t="s">
        <v>117</v>
      </c>
      <c r="C91" s="1341"/>
      <c r="D91" s="448">
        <v>0</v>
      </c>
      <c r="E91" s="447">
        <v>20175.05</v>
      </c>
      <c r="F91" s="448">
        <v>0</v>
      </c>
      <c r="G91" s="989">
        <v>22346.07</v>
      </c>
      <c r="H91" s="989">
        <v>22346.07</v>
      </c>
      <c r="I91" s="1150">
        <v>0</v>
      </c>
      <c r="J91" s="1151">
        <v>0</v>
      </c>
      <c r="K91" s="1151">
        <v>0</v>
      </c>
      <c r="L91" s="1110">
        <f t="shared" si="32"/>
        <v>0</v>
      </c>
      <c r="M91" s="635" t="s">
        <v>60</v>
      </c>
      <c r="N91" s="636">
        <f t="shared" si="31"/>
        <v>0</v>
      </c>
      <c r="O91" s="936"/>
      <c r="P91" s="353"/>
      <c r="Q91" s="353"/>
      <c r="R91" s="353"/>
      <c r="S91" s="353"/>
      <c r="T91" s="353"/>
      <c r="U91" s="353"/>
      <c r="V91" s="353"/>
    </row>
    <row r="92" spans="1:23" s="160" customFormat="1" ht="30" customHeight="1" x14ac:dyDescent="0.2">
      <c r="A92" s="603">
        <v>3123</v>
      </c>
      <c r="B92" s="1340" t="s">
        <v>131</v>
      </c>
      <c r="C92" s="1341"/>
      <c r="D92" s="448">
        <v>0</v>
      </c>
      <c r="E92" s="447">
        <v>11209.56</v>
      </c>
      <c r="F92" s="448">
        <v>0</v>
      </c>
      <c r="G92" s="989">
        <v>16107.27</v>
      </c>
      <c r="H92" s="989">
        <v>16107.27</v>
      </c>
      <c r="I92" s="1150">
        <v>0</v>
      </c>
      <c r="J92" s="1151">
        <v>0</v>
      </c>
      <c r="K92" s="1151">
        <v>0</v>
      </c>
      <c r="L92" s="1110">
        <f t="shared" si="32"/>
        <v>0</v>
      </c>
      <c r="M92" s="635" t="s">
        <v>60</v>
      </c>
      <c r="N92" s="636">
        <f t="shared" si="31"/>
        <v>0</v>
      </c>
      <c r="O92" s="936"/>
      <c r="P92" s="353"/>
      <c r="Q92" s="353"/>
      <c r="R92" s="353"/>
      <c r="S92" s="353"/>
      <c r="T92" s="353"/>
      <c r="U92" s="353"/>
      <c r="V92" s="353"/>
    </row>
    <row r="93" spans="1:23" ht="20.100000000000001" customHeight="1" x14ac:dyDescent="0.2">
      <c r="A93" s="603">
        <v>3133</v>
      </c>
      <c r="B93" s="1340" t="s">
        <v>118</v>
      </c>
      <c r="C93" s="1341"/>
      <c r="D93" s="432">
        <v>0</v>
      </c>
      <c r="E93" s="121">
        <v>15</v>
      </c>
      <c r="F93" s="432">
        <v>0</v>
      </c>
      <c r="G93" s="987">
        <v>0</v>
      </c>
      <c r="H93" s="987">
        <v>0</v>
      </c>
      <c r="I93" s="1150">
        <v>0</v>
      </c>
      <c r="J93" s="1151">
        <v>0</v>
      </c>
      <c r="K93" s="1151">
        <v>0</v>
      </c>
      <c r="L93" s="1110">
        <f t="shared" ref="L93" si="33">SUM(I93:K93)</f>
        <v>0</v>
      </c>
      <c r="M93" s="635" t="s">
        <v>60</v>
      </c>
      <c r="N93" s="636" t="s">
        <v>60</v>
      </c>
      <c r="O93" s="936"/>
      <c r="P93" s="72"/>
      <c r="Q93" s="85"/>
      <c r="R93" s="85"/>
      <c r="S93" s="86"/>
      <c r="T93" s="86"/>
      <c r="U93" s="86"/>
      <c r="V93" s="86"/>
      <c r="W93" s="86"/>
    </row>
    <row r="94" spans="1:23" s="160" customFormat="1" ht="20.100000000000001" customHeight="1" x14ac:dyDescent="0.2">
      <c r="A94" s="603" t="s">
        <v>141</v>
      </c>
      <c r="B94" s="1340" t="s">
        <v>134</v>
      </c>
      <c r="C94" s="1341"/>
      <c r="D94" s="448">
        <v>105000</v>
      </c>
      <c r="E94" s="447">
        <v>0</v>
      </c>
      <c r="F94" s="448">
        <v>155000</v>
      </c>
      <c r="G94" s="989">
        <v>31885.52</v>
      </c>
      <c r="H94" s="989">
        <v>6500.12</v>
      </c>
      <c r="I94" s="1150">
        <v>0</v>
      </c>
      <c r="J94" s="1151">
        <v>70000</v>
      </c>
      <c r="K94" s="1151">
        <v>65000</v>
      </c>
      <c r="L94" s="1110">
        <f t="shared" si="32"/>
        <v>135000</v>
      </c>
      <c r="M94" s="635">
        <f t="shared" ref="M94" si="34">L94/F94*100</f>
        <v>87.096774193548384</v>
      </c>
      <c r="N94" s="636">
        <f t="shared" si="31"/>
        <v>423.38967656792175</v>
      </c>
      <c r="O94" s="936"/>
      <c r="P94" s="353"/>
      <c r="Q94" s="353"/>
      <c r="R94" s="353"/>
      <c r="S94" s="353"/>
      <c r="T94" s="353"/>
      <c r="U94" s="353"/>
      <c r="V94" s="353"/>
    </row>
    <row r="95" spans="1:23" s="102" customFormat="1" ht="20.100000000000001" customHeight="1" x14ac:dyDescent="0.2">
      <c r="A95" s="631">
        <v>3421</v>
      </c>
      <c r="B95" s="1340" t="s">
        <v>137</v>
      </c>
      <c r="C95" s="1341"/>
      <c r="D95" s="448">
        <v>0</v>
      </c>
      <c r="E95" s="447">
        <v>30</v>
      </c>
      <c r="F95" s="448">
        <v>0</v>
      </c>
      <c r="G95" s="449">
        <v>0</v>
      </c>
      <c r="H95" s="450">
        <v>0</v>
      </c>
      <c r="I95" s="1154">
        <v>0</v>
      </c>
      <c r="J95" s="1152">
        <v>0</v>
      </c>
      <c r="K95" s="1153">
        <v>0</v>
      </c>
      <c r="L95" s="1110">
        <f t="shared" ref="L95" si="35">SUM(I95:K95)</f>
        <v>0</v>
      </c>
      <c r="M95" s="635" t="s">
        <v>60</v>
      </c>
      <c r="N95" s="636" t="s">
        <v>60</v>
      </c>
      <c r="O95" s="936"/>
      <c r="P95" s="159"/>
      <c r="Q95" s="159"/>
      <c r="R95" s="159"/>
      <c r="S95" s="159"/>
      <c r="T95" s="159"/>
      <c r="U95" s="159"/>
      <c r="V95" s="159"/>
    </row>
    <row r="96" spans="1:23" s="69" customFormat="1" ht="20.100000000000001" customHeight="1" x14ac:dyDescent="0.2">
      <c r="A96" s="1344" t="s">
        <v>298</v>
      </c>
      <c r="B96" s="1345"/>
      <c r="C96" s="1321"/>
      <c r="D96" s="464">
        <f t="shared" ref="D96:K96" si="36">SUM(D97:D103)</f>
        <v>4600</v>
      </c>
      <c r="E96" s="463">
        <f t="shared" si="36"/>
        <v>3293.4</v>
      </c>
      <c r="F96" s="464">
        <f t="shared" si="36"/>
        <v>4600</v>
      </c>
      <c r="G96" s="470">
        <f t="shared" si="36"/>
        <v>5100</v>
      </c>
      <c r="H96" s="465">
        <f t="shared" si="36"/>
        <v>2826.12</v>
      </c>
      <c r="I96" s="530">
        <f t="shared" si="36"/>
        <v>0</v>
      </c>
      <c r="J96" s="531">
        <f t="shared" si="36"/>
        <v>2300</v>
      </c>
      <c r="K96" s="1122">
        <f t="shared" si="36"/>
        <v>2300</v>
      </c>
      <c r="L96" s="1076">
        <f t="shared" si="32"/>
        <v>4600</v>
      </c>
      <c r="M96" s="639">
        <f t="shared" ref="M96" si="37">L96/F96*100</f>
        <v>100</v>
      </c>
      <c r="N96" s="642">
        <f t="shared" ref="N96:N103" si="38">L96/G96*100</f>
        <v>90.196078431372555</v>
      </c>
      <c r="O96" s="936"/>
      <c r="P96" s="478"/>
      <c r="Q96" s="478"/>
      <c r="R96" s="478"/>
      <c r="S96" s="478"/>
      <c r="T96" s="478"/>
      <c r="U96" s="478"/>
      <c r="V96" s="478"/>
    </row>
    <row r="97" spans="1:22" s="102" customFormat="1" ht="20.100000000000001" customHeight="1" x14ac:dyDescent="0.2">
      <c r="A97" s="603">
        <v>3113</v>
      </c>
      <c r="B97" s="1340" t="s">
        <v>299</v>
      </c>
      <c r="C97" s="1341"/>
      <c r="D97" s="432">
        <v>0</v>
      </c>
      <c r="E97" s="121">
        <v>585.61</v>
      </c>
      <c r="F97" s="432">
        <v>0</v>
      </c>
      <c r="G97" s="119">
        <v>289.95</v>
      </c>
      <c r="H97" s="953">
        <v>288.99</v>
      </c>
      <c r="I97" s="654">
        <v>0</v>
      </c>
      <c r="J97" s="984">
        <v>0</v>
      </c>
      <c r="K97" s="984">
        <v>0</v>
      </c>
      <c r="L97" s="1110">
        <f t="shared" ref="L97:L103" si="39">SUM(I97:K97)</f>
        <v>0</v>
      </c>
      <c r="M97" s="635" t="s">
        <v>60</v>
      </c>
      <c r="N97" s="636">
        <f t="shared" si="38"/>
        <v>0</v>
      </c>
      <c r="O97" s="936"/>
      <c r="P97" s="159"/>
      <c r="Q97" s="159"/>
      <c r="R97" s="159"/>
      <c r="S97" s="159"/>
      <c r="T97" s="159"/>
      <c r="U97" s="159"/>
      <c r="V97" s="159"/>
    </row>
    <row r="98" spans="1:22" s="102" customFormat="1" ht="20.100000000000001" customHeight="1" x14ac:dyDescent="0.2">
      <c r="A98" s="603">
        <v>3121</v>
      </c>
      <c r="B98" s="1340" t="s">
        <v>116</v>
      </c>
      <c r="C98" s="1341"/>
      <c r="D98" s="432">
        <v>0</v>
      </c>
      <c r="E98" s="121">
        <v>1074.19</v>
      </c>
      <c r="F98" s="432">
        <v>0</v>
      </c>
      <c r="G98" s="119">
        <v>252.54</v>
      </c>
      <c r="H98" s="953">
        <v>247.34</v>
      </c>
      <c r="I98" s="654">
        <v>0</v>
      </c>
      <c r="J98" s="984">
        <v>0</v>
      </c>
      <c r="K98" s="984">
        <v>0</v>
      </c>
      <c r="L98" s="1110">
        <f t="shared" si="39"/>
        <v>0</v>
      </c>
      <c r="M98" s="635" t="s">
        <v>60</v>
      </c>
      <c r="N98" s="636">
        <f t="shared" si="38"/>
        <v>0</v>
      </c>
      <c r="O98" s="936"/>
      <c r="P98" s="159"/>
      <c r="Q98" s="159"/>
      <c r="R98" s="159"/>
      <c r="S98" s="159"/>
      <c r="T98" s="159"/>
      <c r="U98" s="159"/>
      <c r="V98" s="159"/>
    </row>
    <row r="99" spans="1:22" s="102" customFormat="1" ht="20.100000000000001" customHeight="1" x14ac:dyDescent="0.2">
      <c r="A99" s="603">
        <v>3122</v>
      </c>
      <c r="B99" s="1340" t="s">
        <v>117</v>
      </c>
      <c r="C99" s="1341"/>
      <c r="D99" s="432">
        <v>0</v>
      </c>
      <c r="E99" s="121">
        <v>122.52</v>
      </c>
      <c r="F99" s="432">
        <v>0</v>
      </c>
      <c r="G99" s="119">
        <v>239.04</v>
      </c>
      <c r="H99" s="953">
        <v>209.6</v>
      </c>
      <c r="I99" s="654">
        <v>0</v>
      </c>
      <c r="J99" s="984">
        <v>0</v>
      </c>
      <c r="K99" s="984">
        <v>0</v>
      </c>
      <c r="L99" s="1110">
        <f t="shared" si="39"/>
        <v>0</v>
      </c>
      <c r="M99" s="635" t="s">
        <v>60</v>
      </c>
      <c r="N99" s="636">
        <f t="shared" si="38"/>
        <v>0</v>
      </c>
      <c r="O99" s="936"/>
      <c r="P99" s="159"/>
      <c r="Q99" s="159"/>
      <c r="R99" s="159"/>
      <c r="S99" s="159"/>
      <c r="T99" s="159"/>
      <c r="U99" s="159"/>
      <c r="V99" s="159"/>
    </row>
    <row r="100" spans="1:22" s="102" customFormat="1" ht="29.25" customHeight="1" x14ac:dyDescent="0.2">
      <c r="A100" s="603">
        <v>3123</v>
      </c>
      <c r="B100" s="1340" t="s">
        <v>131</v>
      </c>
      <c r="C100" s="1341"/>
      <c r="D100" s="432">
        <v>0</v>
      </c>
      <c r="E100" s="121">
        <v>15</v>
      </c>
      <c r="F100" s="432">
        <v>0</v>
      </c>
      <c r="G100" s="119">
        <v>54.5</v>
      </c>
      <c r="H100" s="953">
        <v>51.3</v>
      </c>
      <c r="I100" s="654">
        <v>0</v>
      </c>
      <c r="J100" s="984">
        <v>0</v>
      </c>
      <c r="K100" s="984">
        <v>0</v>
      </c>
      <c r="L100" s="1110">
        <f t="shared" si="39"/>
        <v>0</v>
      </c>
      <c r="M100" s="635" t="s">
        <v>60</v>
      </c>
      <c r="N100" s="636">
        <f t="shared" si="38"/>
        <v>0</v>
      </c>
      <c r="O100" s="936"/>
      <c r="P100" s="159"/>
      <c r="Q100" s="159"/>
      <c r="R100" s="159"/>
      <c r="S100" s="159"/>
      <c r="T100" s="159"/>
      <c r="U100" s="159"/>
      <c r="V100" s="159"/>
    </row>
    <row r="101" spans="1:22" s="102" customFormat="1" ht="20.100000000000001" customHeight="1" x14ac:dyDescent="0.2">
      <c r="A101" s="603">
        <v>3231</v>
      </c>
      <c r="B101" s="1340" t="s">
        <v>133</v>
      </c>
      <c r="C101" s="1341"/>
      <c r="D101" s="432">
        <v>0</v>
      </c>
      <c r="E101" s="121">
        <v>251.17</v>
      </c>
      <c r="F101" s="432">
        <v>0</v>
      </c>
      <c r="G101" s="119">
        <v>21</v>
      </c>
      <c r="H101" s="953">
        <v>21</v>
      </c>
      <c r="I101" s="654">
        <v>0</v>
      </c>
      <c r="J101" s="984">
        <v>0</v>
      </c>
      <c r="K101" s="984">
        <v>0</v>
      </c>
      <c r="L101" s="1110">
        <f t="shared" si="39"/>
        <v>0</v>
      </c>
      <c r="M101" s="635" t="s">
        <v>60</v>
      </c>
      <c r="N101" s="636">
        <f t="shared" si="38"/>
        <v>0</v>
      </c>
      <c r="O101" s="936"/>
      <c r="P101" s="159"/>
      <c r="Q101" s="159"/>
      <c r="R101" s="159"/>
      <c r="S101" s="159"/>
      <c r="T101" s="159"/>
      <c r="U101" s="159"/>
      <c r="V101" s="159"/>
    </row>
    <row r="102" spans="1:22" s="102" customFormat="1" ht="20.100000000000001" customHeight="1" x14ac:dyDescent="0.2">
      <c r="A102" s="603">
        <v>3419</v>
      </c>
      <c r="B102" s="1340" t="s">
        <v>300</v>
      </c>
      <c r="C102" s="1341"/>
      <c r="D102" s="432">
        <v>4600</v>
      </c>
      <c r="E102" s="121">
        <v>470.89</v>
      </c>
      <c r="F102" s="432">
        <v>4600</v>
      </c>
      <c r="G102" s="119">
        <v>3402.64</v>
      </c>
      <c r="H102" s="953">
        <v>1194.76</v>
      </c>
      <c r="I102" s="654">
        <v>0</v>
      </c>
      <c r="J102" s="984">
        <v>2300</v>
      </c>
      <c r="K102" s="984">
        <v>2300</v>
      </c>
      <c r="L102" s="1110">
        <f t="shared" si="39"/>
        <v>4600</v>
      </c>
      <c r="M102" s="635">
        <f t="shared" ref="M102" si="40">L102/F102*100</f>
        <v>100</v>
      </c>
      <c r="N102" s="636">
        <f t="shared" si="38"/>
        <v>135.1891472503703</v>
      </c>
      <c r="O102" s="936"/>
      <c r="P102" s="159"/>
      <c r="Q102" s="159"/>
      <c r="R102" s="159"/>
      <c r="S102" s="159"/>
      <c r="T102" s="159"/>
      <c r="U102" s="159"/>
      <c r="V102" s="159"/>
    </row>
    <row r="103" spans="1:22" s="102" customFormat="1" ht="20.100000000000001" customHeight="1" x14ac:dyDescent="0.2">
      <c r="A103" s="603">
        <v>3421</v>
      </c>
      <c r="B103" s="1340" t="s">
        <v>137</v>
      </c>
      <c r="C103" s="1341"/>
      <c r="D103" s="432">
        <v>0</v>
      </c>
      <c r="E103" s="121">
        <v>774.02</v>
      </c>
      <c r="F103" s="432">
        <v>0</v>
      </c>
      <c r="G103" s="119">
        <v>840.33</v>
      </c>
      <c r="H103" s="953">
        <v>813.13</v>
      </c>
      <c r="I103" s="654">
        <v>0</v>
      </c>
      <c r="J103" s="984">
        <v>0</v>
      </c>
      <c r="K103" s="984">
        <v>0</v>
      </c>
      <c r="L103" s="1110">
        <f t="shared" si="39"/>
        <v>0</v>
      </c>
      <c r="M103" s="635" t="s">
        <v>60</v>
      </c>
      <c r="N103" s="636">
        <f t="shared" si="38"/>
        <v>0</v>
      </c>
      <c r="O103" s="936"/>
      <c r="P103" s="159"/>
      <c r="Q103" s="159"/>
      <c r="R103" s="159"/>
      <c r="S103" s="159"/>
      <c r="T103" s="159"/>
      <c r="U103" s="159"/>
      <c r="V103" s="159"/>
    </row>
    <row r="104" spans="1:22" s="69" customFormat="1" ht="20.100000000000001" customHeight="1" x14ac:dyDescent="0.2">
      <c r="A104" s="1344" t="s">
        <v>412</v>
      </c>
      <c r="B104" s="1345"/>
      <c r="C104" s="1321"/>
      <c r="D104" s="464">
        <f t="shared" ref="D104:K104" si="41">SUM(D105:D107)</f>
        <v>0</v>
      </c>
      <c r="E104" s="463">
        <f t="shared" si="41"/>
        <v>803.32999999999993</v>
      </c>
      <c r="F104" s="464">
        <f t="shared" si="41"/>
        <v>0</v>
      </c>
      <c r="G104" s="470">
        <f t="shared" si="41"/>
        <v>0</v>
      </c>
      <c r="H104" s="465">
        <f t="shared" si="41"/>
        <v>0</v>
      </c>
      <c r="I104" s="530">
        <f t="shared" si="41"/>
        <v>0</v>
      </c>
      <c r="J104" s="531">
        <f t="shared" si="41"/>
        <v>0</v>
      </c>
      <c r="K104" s="1122">
        <f t="shared" si="41"/>
        <v>0</v>
      </c>
      <c r="L104" s="1076">
        <f>SUM(I103:K103)</f>
        <v>0</v>
      </c>
      <c r="M104" s="639" t="s">
        <v>60</v>
      </c>
      <c r="N104" s="642" t="s">
        <v>60</v>
      </c>
      <c r="O104" s="936"/>
      <c r="P104" s="478"/>
      <c r="Q104" s="478"/>
      <c r="R104" s="478"/>
      <c r="S104" s="478"/>
      <c r="T104" s="478"/>
      <c r="U104" s="478"/>
      <c r="V104" s="478"/>
    </row>
    <row r="105" spans="1:22" s="102" customFormat="1" ht="20.100000000000001" customHeight="1" x14ac:dyDescent="0.2">
      <c r="A105" s="603">
        <v>3121</v>
      </c>
      <c r="B105" s="1340" t="s">
        <v>116</v>
      </c>
      <c r="C105" s="1341"/>
      <c r="D105" s="432">
        <v>0</v>
      </c>
      <c r="E105" s="121">
        <v>96</v>
      </c>
      <c r="F105" s="432">
        <v>0</v>
      </c>
      <c r="G105" s="119">
        <v>0</v>
      </c>
      <c r="H105" s="120">
        <v>0</v>
      </c>
      <c r="I105" s="654">
        <v>0</v>
      </c>
      <c r="J105" s="984">
        <v>0</v>
      </c>
      <c r="K105" s="1144">
        <v>0</v>
      </c>
      <c r="L105" s="1110">
        <f t="shared" ref="L105:L107" si="42">SUM(I105:K105)</f>
        <v>0</v>
      </c>
      <c r="M105" s="635" t="s">
        <v>60</v>
      </c>
      <c r="N105" s="636" t="s">
        <v>60</v>
      </c>
      <c r="O105" s="936"/>
      <c r="P105" s="159"/>
      <c r="Q105" s="159"/>
      <c r="R105" s="159"/>
      <c r="S105" s="159"/>
      <c r="T105" s="159"/>
      <c r="U105" s="159"/>
      <c r="V105" s="159"/>
    </row>
    <row r="106" spans="1:22" s="102" customFormat="1" ht="20.100000000000001" customHeight="1" x14ac:dyDescent="0.2">
      <c r="A106" s="603">
        <v>3122</v>
      </c>
      <c r="B106" s="1340" t="s">
        <v>117</v>
      </c>
      <c r="C106" s="1341"/>
      <c r="D106" s="432">
        <v>0</v>
      </c>
      <c r="E106" s="121">
        <v>608.26</v>
      </c>
      <c r="F106" s="432">
        <v>0</v>
      </c>
      <c r="G106" s="119">
        <v>0</v>
      </c>
      <c r="H106" s="120">
        <v>0</v>
      </c>
      <c r="I106" s="654">
        <v>0</v>
      </c>
      <c r="J106" s="984">
        <v>0</v>
      </c>
      <c r="K106" s="1144">
        <v>0</v>
      </c>
      <c r="L106" s="1110">
        <f t="shared" si="42"/>
        <v>0</v>
      </c>
      <c r="M106" s="635" t="s">
        <v>60</v>
      </c>
      <c r="N106" s="636" t="s">
        <v>60</v>
      </c>
      <c r="O106" s="936"/>
      <c r="P106" s="159"/>
      <c r="Q106" s="159"/>
      <c r="R106" s="159"/>
      <c r="S106" s="159"/>
      <c r="T106" s="159"/>
      <c r="U106" s="159"/>
      <c r="V106" s="159"/>
    </row>
    <row r="107" spans="1:22" s="102" customFormat="1" ht="28.5" customHeight="1" x14ac:dyDescent="0.2">
      <c r="A107" s="603">
        <v>3123</v>
      </c>
      <c r="B107" s="1340" t="s">
        <v>131</v>
      </c>
      <c r="C107" s="1341"/>
      <c r="D107" s="432">
        <v>0</v>
      </c>
      <c r="E107" s="121">
        <v>99.07</v>
      </c>
      <c r="F107" s="432">
        <v>0</v>
      </c>
      <c r="G107" s="119">
        <v>0</v>
      </c>
      <c r="H107" s="120">
        <v>0</v>
      </c>
      <c r="I107" s="654">
        <v>0</v>
      </c>
      <c r="J107" s="984">
        <v>0</v>
      </c>
      <c r="K107" s="1144">
        <v>0</v>
      </c>
      <c r="L107" s="1110">
        <f t="shared" si="42"/>
        <v>0</v>
      </c>
      <c r="M107" s="635" t="s">
        <v>60</v>
      </c>
      <c r="N107" s="636" t="s">
        <v>60</v>
      </c>
      <c r="O107" s="936"/>
      <c r="P107" s="159"/>
      <c r="Q107" s="159"/>
      <c r="R107" s="159"/>
      <c r="S107" s="159"/>
      <c r="T107" s="159"/>
      <c r="U107" s="159"/>
      <c r="V107" s="159"/>
    </row>
    <row r="108" spans="1:22" s="70" customFormat="1" ht="20.100000000000001" customHeight="1" x14ac:dyDescent="0.2">
      <c r="A108" s="507">
        <v>3123</v>
      </c>
      <c r="B108" s="1302" t="s">
        <v>411</v>
      </c>
      <c r="C108" s="1303"/>
      <c r="D108" s="473">
        <v>0</v>
      </c>
      <c r="E108" s="472">
        <v>157.30000000000001</v>
      </c>
      <c r="F108" s="473">
        <v>28000</v>
      </c>
      <c r="G108" s="560">
        <v>47842.7</v>
      </c>
      <c r="H108" s="992">
        <v>1384.91</v>
      </c>
      <c r="I108" s="997">
        <v>0</v>
      </c>
      <c r="J108" s="1100">
        <v>12000</v>
      </c>
      <c r="K108" s="1100">
        <v>0</v>
      </c>
      <c r="L108" s="1065">
        <f t="shared" ref="L108" si="43">SUM(I108:K108)</f>
        <v>12000</v>
      </c>
      <c r="M108" s="639">
        <f t="shared" ref="M108:M113" si="44">L108/F108*100</f>
        <v>42.857142857142854</v>
      </c>
      <c r="N108" s="642">
        <f t="shared" ref="N108:N114" si="45">L108/G108*100</f>
        <v>25.082196447942952</v>
      </c>
      <c r="O108" s="936"/>
      <c r="P108" s="461"/>
      <c r="Q108" s="461"/>
      <c r="R108" s="461"/>
      <c r="S108" s="461"/>
      <c r="T108" s="461"/>
      <c r="U108" s="461"/>
      <c r="V108" s="461"/>
    </row>
    <row r="109" spans="1:22" s="70" customFormat="1" ht="20.100000000000001" customHeight="1" x14ac:dyDescent="0.2">
      <c r="A109" s="507">
        <v>3231</v>
      </c>
      <c r="B109" s="1302" t="s">
        <v>434</v>
      </c>
      <c r="C109" s="1303"/>
      <c r="D109" s="473">
        <v>200</v>
      </c>
      <c r="E109" s="472">
        <v>200</v>
      </c>
      <c r="F109" s="473">
        <v>200</v>
      </c>
      <c r="G109" s="553">
        <v>200</v>
      </c>
      <c r="H109" s="994">
        <v>200</v>
      </c>
      <c r="I109" s="997">
        <v>0</v>
      </c>
      <c r="J109" s="1100">
        <v>0</v>
      </c>
      <c r="K109" s="1100">
        <v>200</v>
      </c>
      <c r="L109" s="1065">
        <f>SUM(I109:K109)</f>
        <v>200</v>
      </c>
      <c r="M109" s="639">
        <f>L109/F109*100</f>
        <v>100</v>
      </c>
      <c r="N109" s="642">
        <f>L109/G109*100</f>
        <v>100</v>
      </c>
      <c r="O109" s="936"/>
      <c r="P109" s="461"/>
      <c r="Q109" s="461"/>
      <c r="R109" s="461"/>
      <c r="S109" s="461"/>
      <c r="T109" s="461"/>
      <c r="U109" s="461"/>
      <c r="V109" s="461"/>
    </row>
    <row r="110" spans="1:22" s="90" customFormat="1" ht="20.100000000000001" customHeight="1" x14ac:dyDescent="0.2">
      <c r="A110" s="507">
        <v>3269</v>
      </c>
      <c r="B110" s="1302" t="s">
        <v>410</v>
      </c>
      <c r="C110" s="1303"/>
      <c r="D110" s="473">
        <v>0</v>
      </c>
      <c r="E110" s="472">
        <v>16.43</v>
      </c>
      <c r="F110" s="993">
        <v>0</v>
      </c>
      <c r="G110" s="560">
        <v>395.08</v>
      </c>
      <c r="H110" s="992">
        <v>25.27</v>
      </c>
      <c r="I110" s="997">
        <v>0</v>
      </c>
      <c r="J110" s="1100">
        <v>0</v>
      </c>
      <c r="K110" s="1100">
        <v>0</v>
      </c>
      <c r="L110" s="1065">
        <f t="shared" ref="L110" si="46">SUM(I110:K110)</f>
        <v>0</v>
      </c>
      <c r="M110" s="639" t="s">
        <v>60</v>
      </c>
      <c r="N110" s="642">
        <f t="shared" si="45"/>
        <v>0</v>
      </c>
      <c r="O110" s="936"/>
      <c r="P110" s="628"/>
      <c r="Q110" s="628"/>
      <c r="R110" s="628"/>
      <c r="S110" s="628"/>
      <c r="T110" s="628"/>
      <c r="U110" s="628"/>
      <c r="V110" s="628"/>
    </row>
    <row r="111" spans="1:22" s="70" customFormat="1" ht="30" customHeight="1" x14ac:dyDescent="0.2">
      <c r="A111" s="507">
        <v>3269</v>
      </c>
      <c r="B111" s="1325" t="s">
        <v>516</v>
      </c>
      <c r="C111" s="1326"/>
      <c r="D111" s="997">
        <v>0</v>
      </c>
      <c r="E111" s="998">
        <v>0</v>
      </c>
      <c r="F111" s="995">
        <v>0</v>
      </c>
      <c r="G111" s="553">
        <v>0</v>
      </c>
      <c r="H111" s="996">
        <v>0</v>
      </c>
      <c r="I111" s="997">
        <v>0</v>
      </c>
      <c r="J111" s="1100">
        <v>20000</v>
      </c>
      <c r="K111" s="1156">
        <v>0</v>
      </c>
      <c r="L111" s="1065">
        <f t="shared" ref="L111" si="47">SUM(I111:K111)</f>
        <v>20000</v>
      </c>
      <c r="M111" s="639" t="s">
        <v>60</v>
      </c>
      <c r="N111" s="642" t="s">
        <v>60</v>
      </c>
      <c r="O111" s="936"/>
      <c r="P111" s="461"/>
      <c r="Q111" s="461"/>
      <c r="R111" s="461"/>
      <c r="S111" s="461"/>
      <c r="T111" s="461"/>
      <c r="U111" s="461"/>
      <c r="V111" s="461"/>
    </row>
    <row r="112" spans="1:22" s="70" customFormat="1" ht="20.100000000000001" customHeight="1" x14ac:dyDescent="0.2">
      <c r="A112" s="507">
        <v>3419</v>
      </c>
      <c r="B112" s="1302" t="s">
        <v>143</v>
      </c>
      <c r="C112" s="1303"/>
      <c r="D112" s="473">
        <v>32000</v>
      </c>
      <c r="E112" s="472">
        <v>32900</v>
      </c>
      <c r="F112" s="473">
        <v>32000</v>
      </c>
      <c r="G112" s="560">
        <v>33598.25</v>
      </c>
      <c r="H112" s="992">
        <v>33398.25</v>
      </c>
      <c r="I112" s="997">
        <v>0</v>
      </c>
      <c r="J112" s="1100">
        <v>37510</v>
      </c>
      <c r="K112" s="1100">
        <v>0</v>
      </c>
      <c r="L112" s="1065">
        <f t="shared" ref="L112:L114" si="48">SUM(I112:K112)</f>
        <v>37510</v>
      </c>
      <c r="M112" s="639">
        <f t="shared" si="44"/>
        <v>117.21875</v>
      </c>
      <c r="N112" s="642">
        <f t="shared" si="45"/>
        <v>111.64271948687802</v>
      </c>
      <c r="O112" s="936"/>
      <c r="P112" s="461"/>
      <c r="Q112" s="461"/>
      <c r="R112" s="461"/>
      <c r="S112" s="461"/>
      <c r="T112" s="461"/>
      <c r="U112" s="461"/>
      <c r="V112" s="461"/>
    </row>
    <row r="113" spans="1:22" s="70" customFormat="1" ht="20.100000000000001" customHeight="1" x14ac:dyDescent="0.2">
      <c r="A113" s="507">
        <v>3419</v>
      </c>
      <c r="B113" s="1302" t="s">
        <v>301</v>
      </c>
      <c r="C113" s="1303"/>
      <c r="D113" s="473">
        <v>2000</v>
      </c>
      <c r="E113" s="472">
        <v>1876.76</v>
      </c>
      <c r="F113" s="473">
        <v>2000</v>
      </c>
      <c r="G113" s="560">
        <v>2000</v>
      </c>
      <c r="H113" s="992">
        <v>1298.67</v>
      </c>
      <c r="I113" s="997">
        <v>0</v>
      </c>
      <c r="J113" s="1100">
        <v>2500</v>
      </c>
      <c r="K113" s="1100">
        <v>0</v>
      </c>
      <c r="L113" s="1065">
        <f t="shared" si="48"/>
        <v>2500</v>
      </c>
      <c r="M113" s="639">
        <f t="shared" si="44"/>
        <v>125</v>
      </c>
      <c r="N113" s="642">
        <f t="shared" si="45"/>
        <v>125</v>
      </c>
      <c r="O113" s="936"/>
      <c r="P113" s="461"/>
      <c r="Q113" s="461"/>
      <c r="R113" s="461"/>
      <c r="S113" s="461"/>
      <c r="T113" s="461"/>
      <c r="U113" s="461"/>
      <c r="V113" s="461"/>
    </row>
    <row r="114" spans="1:22" s="70" customFormat="1" ht="33" customHeight="1" thickBot="1" x14ac:dyDescent="0.25">
      <c r="A114" s="507">
        <v>2421</v>
      </c>
      <c r="B114" s="1302" t="s">
        <v>558</v>
      </c>
      <c r="C114" s="1303"/>
      <c r="D114" s="473">
        <v>0</v>
      </c>
      <c r="E114" s="472">
        <v>0</v>
      </c>
      <c r="F114" s="473">
        <v>0</v>
      </c>
      <c r="G114" s="560">
        <v>1300</v>
      </c>
      <c r="H114" s="992">
        <v>0</v>
      </c>
      <c r="I114" s="997">
        <v>0</v>
      </c>
      <c r="J114" s="1100">
        <v>0</v>
      </c>
      <c r="K114" s="1100">
        <v>0</v>
      </c>
      <c r="L114" s="1065">
        <f t="shared" si="48"/>
        <v>0</v>
      </c>
      <c r="M114" s="639" t="s">
        <v>60</v>
      </c>
      <c r="N114" s="642">
        <f t="shared" si="45"/>
        <v>0</v>
      </c>
      <c r="O114" s="936"/>
      <c r="P114" s="461"/>
      <c r="Q114" s="461"/>
      <c r="R114" s="461"/>
      <c r="S114" s="461"/>
      <c r="T114" s="461"/>
      <c r="U114" s="461"/>
      <c r="V114" s="461"/>
    </row>
    <row r="115" spans="1:22" s="90" customFormat="1" ht="20.100000000000001" customHeight="1" thickBot="1" x14ac:dyDescent="0.25">
      <c r="A115" s="183"/>
      <c r="B115" s="184" t="s">
        <v>85</v>
      </c>
      <c r="C115" s="645"/>
      <c r="D115" s="183">
        <f>+D9+D38+D49+D61+D66+D71+D79+D88+D96+D104+SUM(D108:D114)</f>
        <v>813556</v>
      </c>
      <c r="E115" s="184">
        <f>+E9+E38+E49+E61+E66+E71+E79+E88+E96+E104+SUM(E108:E114)</f>
        <v>999269.4299999997</v>
      </c>
      <c r="F115" s="183">
        <f t="shared" ref="F115:K115" si="49">+F9+F25+F38+F49+F61+F66+F71+F79+F88+F96+F104+SUM(F108:F114)</f>
        <v>1155417</v>
      </c>
      <c r="G115" s="185">
        <f t="shared" si="49"/>
        <v>1124613.8199999998</v>
      </c>
      <c r="H115" s="184">
        <f t="shared" si="49"/>
        <v>805317.84</v>
      </c>
      <c r="I115" s="183">
        <f>+I9+I25+I38+I49+I61+I66+I71+I79+I88+I96+I104+SUM(I108:I114)</f>
        <v>877064</v>
      </c>
      <c r="J115" s="982">
        <f t="shared" si="49"/>
        <v>213579</v>
      </c>
      <c r="K115" s="193">
        <f t="shared" si="49"/>
        <v>80000</v>
      </c>
      <c r="L115" s="1067">
        <f>+L9+L25+L38+L49+L61+L66+L71+L79+L88+L96+L104+SUM(L108:L114)</f>
        <v>1170643</v>
      </c>
      <c r="M115" s="643">
        <f>L115/F115*100</f>
        <v>101.31779262378863</v>
      </c>
      <c r="N115" s="644">
        <f t="shared" ref="N115" si="50">L115/G115*100</f>
        <v>104.09288763675339</v>
      </c>
      <c r="O115" s="936"/>
    </row>
    <row r="116" spans="1:22" ht="15" x14ac:dyDescent="0.2">
      <c r="O116" s="936"/>
    </row>
    <row r="117" spans="1:22" ht="15" x14ac:dyDescent="0.2">
      <c r="D117" s="148"/>
      <c r="F117" s="148"/>
      <c r="L117" s="148"/>
      <c r="O117" s="936"/>
    </row>
  </sheetData>
  <mergeCells count="114">
    <mergeCell ref="B28:C28"/>
    <mergeCell ref="B29:C29"/>
    <mergeCell ref="B30:C30"/>
    <mergeCell ref="B33:C33"/>
    <mergeCell ref="B74:C74"/>
    <mergeCell ref="B35:C35"/>
    <mergeCell ref="B82:C82"/>
    <mergeCell ref="B34:C34"/>
    <mergeCell ref="B44:C44"/>
    <mergeCell ref="B42:C42"/>
    <mergeCell ref="B46:C46"/>
    <mergeCell ref="B58:C58"/>
    <mergeCell ref="B63:C63"/>
    <mergeCell ref="B68:C68"/>
    <mergeCell ref="B70:C70"/>
    <mergeCell ref="B65:C65"/>
    <mergeCell ref="B62:C62"/>
    <mergeCell ref="B54:C54"/>
    <mergeCell ref="B69:C69"/>
    <mergeCell ref="B64:C64"/>
    <mergeCell ref="B23:C23"/>
    <mergeCell ref="A49:C49"/>
    <mergeCell ref="A61:C61"/>
    <mergeCell ref="A66:C66"/>
    <mergeCell ref="A71:C71"/>
    <mergeCell ref="A88:C88"/>
    <mergeCell ref="B102:C102"/>
    <mergeCell ref="B47:C47"/>
    <mergeCell ref="B36:C36"/>
    <mergeCell ref="A38:C38"/>
    <mergeCell ref="B39:C39"/>
    <mergeCell ref="B40:C40"/>
    <mergeCell ref="B41:C41"/>
    <mergeCell ref="B45:C45"/>
    <mergeCell ref="B43:C43"/>
    <mergeCell ref="B76:C76"/>
    <mergeCell ref="B73:C73"/>
    <mergeCell ref="B48:C48"/>
    <mergeCell ref="B50:C50"/>
    <mergeCell ref="B51:C51"/>
    <mergeCell ref="B52:C52"/>
    <mergeCell ref="B53:C53"/>
    <mergeCell ref="B27:C27"/>
    <mergeCell ref="B78:C78"/>
    <mergeCell ref="B106:C106"/>
    <mergeCell ref="B81:C81"/>
    <mergeCell ref="B55:C55"/>
    <mergeCell ref="B56:C56"/>
    <mergeCell ref="B57:C57"/>
    <mergeCell ref="B59:C59"/>
    <mergeCell ref="B60:C60"/>
    <mergeCell ref="B75:C75"/>
    <mergeCell ref="B83:C83"/>
    <mergeCell ref="B84:C84"/>
    <mergeCell ref="B100:C100"/>
    <mergeCell ref="B86:C86"/>
    <mergeCell ref="B85:C85"/>
    <mergeCell ref="B80:C80"/>
    <mergeCell ref="B67:C67"/>
    <mergeCell ref="B77:C77"/>
    <mergeCell ref="B89:C89"/>
    <mergeCell ref="B93:C93"/>
    <mergeCell ref="B87:C87"/>
    <mergeCell ref="B90:C90"/>
    <mergeCell ref="B72:C72"/>
    <mergeCell ref="B91:C91"/>
    <mergeCell ref="A2:N2"/>
    <mergeCell ref="A6:A7"/>
    <mergeCell ref="D6:E6"/>
    <mergeCell ref="F6:H6"/>
    <mergeCell ref="I6:L6"/>
    <mergeCell ref="M6:M7"/>
    <mergeCell ref="N6:N7"/>
    <mergeCell ref="B6:C7"/>
    <mergeCell ref="B22:C22"/>
    <mergeCell ref="A22:A24"/>
    <mergeCell ref="B24:C24"/>
    <mergeCell ref="A9:C9"/>
    <mergeCell ref="B20:C20"/>
    <mergeCell ref="B21:C21"/>
    <mergeCell ref="B12:C12"/>
    <mergeCell ref="B13:C13"/>
    <mergeCell ref="B14:C14"/>
    <mergeCell ref="B15:C15"/>
    <mergeCell ref="B10:C10"/>
    <mergeCell ref="B18:C18"/>
    <mergeCell ref="B16:C16"/>
    <mergeCell ref="B11:C11"/>
    <mergeCell ref="B17:C17"/>
    <mergeCell ref="B19:C19"/>
    <mergeCell ref="B114:C114"/>
    <mergeCell ref="B101:C101"/>
    <mergeCell ref="B105:C105"/>
    <mergeCell ref="B107:C107"/>
    <mergeCell ref="B37:C37"/>
    <mergeCell ref="B31:C31"/>
    <mergeCell ref="B32:C32"/>
    <mergeCell ref="A25:C25"/>
    <mergeCell ref="B26:C26"/>
    <mergeCell ref="B111:C111"/>
    <mergeCell ref="B109:C109"/>
    <mergeCell ref="B92:C92"/>
    <mergeCell ref="B94:C94"/>
    <mergeCell ref="B97:C97"/>
    <mergeCell ref="B98:C98"/>
    <mergeCell ref="B99:C99"/>
    <mergeCell ref="A96:C96"/>
    <mergeCell ref="B113:C113"/>
    <mergeCell ref="B95:C95"/>
    <mergeCell ref="B110:C110"/>
    <mergeCell ref="B108:C108"/>
    <mergeCell ref="A104:C104"/>
    <mergeCell ref="B103:C103"/>
    <mergeCell ref="B112:C112"/>
  </mergeCells>
  <printOptions horizontalCentered="1"/>
  <pageMargins left="0.59055118110236227" right="0.59055118110236227" top="0.78740157480314965" bottom="0.78740157480314965" header="0.59055118110236227" footer="0.59055118110236227"/>
  <pageSetup paperSize="9" scale="65"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I89"/>
  <sheetViews>
    <sheetView zoomScaleNormal="100" workbookViewId="0"/>
  </sheetViews>
  <sheetFormatPr defaultColWidth="9.140625" defaultRowHeight="12.75" x14ac:dyDescent="0.2"/>
  <cols>
    <col min="1" max="1" width="8.140625" style="67" customWidth="1"/>
    <col min="2" max="2" width="6.7109375" style="67" customWidth="1"/>
    <col min="3" max="3" width="40.7109375" style="67" customWidth="1"/>
    <col min="4" max="4" width="14.7109375" style="72" customWidth="1"/>
    <col min="5" max="5" width="14.7109375" style="148" customWidth="1"/>
    <col min="6" max="6" width="14.7109375" style="72" customWidth="1"/>
    <col min="7" max="9" width="14.7109375" style="148" customWidth="1"/>
    <col min="10" max="10" width="15.28515625" style="148" customWidth="1"/>
    <col min="11" max="11" width="14.7109375" style="148" customWidth="1"/>
    <col min="12" max="12" width="14.7109375" style="693" customWidth="1"/>
    <col min="13" max="14" width="9.7109375" style="149" customWidth="1"/>
    <col min="15" max="16384" width="9.140625" style="67"/>
  </cols>
  <sheetData>
    <row r="1" spans="1:14" ht="15" customHeight="1" x14ac:dyDescent="0.2">
      <c r="N1" s="150"/>
    </row>
    <row r="2" spans="1:14" ht="20.100000000000001" customHeight="1" x14ac:dyDescent="0.35">
      <c r="A2" s="1284" t="s">
        <v>570</v>
      </c>
      <c r="B2" s="1206"/>
      <c r="C2" s="1206"/>
      <c r="D2" s="1206"/>
      <c r="E2" s="1206"/>
      <c r="F2" s="1206"/>
      <c r="G2" s="1206"/>
      <c r="H2" s="1206"/>
      <c r="I2" s="1206"/>
      <c r="J2" s="1206"/>
      <c r="K2" s="1206"/>
      <c r="L2" s="1206"/>
      <c r="M2" s="1206"/>
      <c r="N2" s="1285"/>
    </row>
    <row r="3" spans="1:14" ht="15" customHeight="1" x14ac:dyDescent="0.2"/>
    <row r="4" spans="1:14" ht="20.100000000000001" customHeight="1" x14ac:dyDescent="0.2">
      <c r="A4" s="68" t="s">
        <v>204</v>
      </c>
      <c r="G4" s="1364"/>
      <c r="H4" s="1364"/>
      <c r="M4" s="341"/>
    </row>
    <row r="5" spans="1:14" ht="15" customHeight="1" thickBot="1" x14ac:dyDescent="0.25">
      <c r="A5" s="68"/>
      <c r="N5" s="341" t="s">
        <v>0</v>
      </c>
    </row>
    <row r="6" spans="1:14" s="152" customFormat="1" ht="15.95" customHeight="1" x14ac:dyDescent="0.2">
      <c r="A6" s="1286" t="s">
        <v>88</v>
      </c>
      <c r="B6" s="1298" t="s">
        <v>103</v>
      </c>
      <c r="C6" s="1299"/>
      <c r="D6" s="1288" t="s">
        <v>283</v>
      </c>
      <c r="E6" s="1289"/>
      <c r="F6" s="1288" t="s">
        <v>390</v>
      </c>
      <c r="G6" s="1290"/>
      <c r="H6" s="1289"/>
      <c r="I6" s="1291" t="s">
        <v>484</v>
      </c>
      <c r="J6" s="1292"/>
      <c r="K6" s="1292"/>
      <c r="L6" s="1293"/>
      <c r="M6" s="1294" t="s">
        <v>485</v>
      </c>
      <c r="N6" s="1296" t="s">
        <v>489</v>
      </c>
    </row>
    <row r="7" spans="1:14" s="152" customFormat="1" ht="27" customHeight="1" thickBot="1" x14ac:dyDescent="0.25">
      <c r="A7" s="1287"/>
      <c r="B7" s="1300"/>
      <c r="C7" s="1301"/>
      <c r="D7" s="179" t="s">
        <v>108</v>
      </c>
      <c r="E7" s="180" t="s">
        <v>127</v>
      </c>
      <c r="F7" s="267" t="s">
        <v>109</v>
      </c>
      <c r="G7" s="268" t="s">
        <v>586</v>
      </c>
      <c r="H7" s="269" t="s">
        <v>587</v>
      </c>
      <c r="I7" s="892" t="s">
        <v>125</v>
      </c>
      <c r="J7" s="893" t="s">
        <v>126</v>
      </c>
      <c r="K7" s="894" t="s">
        <v>331</v>
      </c>
      <c r="L7" s="889" t="s">
        <v>85</v>
      </c>
      <c r="M7" s="1295"/>
      <c r="N7" s="1297"/>
    </row>
    <row r="8" spans="1:14" s="69" customFormat="1" ht="20.100000000000001" customHeight="1" thickBot="1" x14ac:dyDescent="0.25">
      <c r="B8" s="342" t="s">
        <v>104</v>
      </c>
      <c r="C8" s="342"/>
      <c r="D8" s="343"/>
      <c r="E8" s="344"/>
      <c r="F8" s="343"/>
      <c r="G8" s="156"/>
      <c r="H8" s="156"/>
      <c r="I8" s="156"/>
      <c r="J8" s="156"/>
      <c r="K8" s="156"/>
      <c r="L8" s="896"/>
      <c r="M8" s="698"/>
      <c r="N8" s="698"/>
    </row>
    <row r="9" spans="1:14" s="69" customFormat="1" ht="49.5" customHeight="1" x14ac:dyDescent="0.2">
      <c r="A9" s="509">
        <v>2143</v>
      </c>
      <c r="B9" s="1304" t="s">
        <v>327</v>
      </c>
      <c r="C9" s="1305"/>
      <c r="D9" s="453">
        <v>8420</v>
      </c>
      <c r="E9" s="578">
        <v>5770</v>
      </c>
      <c r="F9" s="489">
        <v>8700</v>
      </c>
      <c r="G9" s="589">
        <v>8610</v>
      </c>
      <c r="H9" s="457">
        <v>8525</v>
      </c>
      <c r="I9" s="489">
        <v>5500</v>
      </c>
      <c r="J9" s="455">
        <v>2500</v>
      </c>
      <c r="K9" s="1077">
        <v>1600</v>
      </c>
      <c r="L9" s="904">
        <f t="shared" ref="L9:L18" si="0">SUM(I9:K9)</f>
        <v>9600</v>
      </c>
      <c r="M9" s="458">
        <f t="shared" ref="M9:M19" si="1">L9/F9*100</f>
        <v>110.34482758620689</v>
      </c>
      <c r="N9" s="459">
        <f t="shared" ref="N9:N18" si="2">L9/G9*100</f>
        <v>111.49825783972125</v>
      </c>
    </row>
    <row r="10" spans="1:14" s="69" customFormat="1" ht="20.100000000000001" customHeight="1" x14ac:dyDescent="0.2">
      <c r="A10" s="668">
        <v>2143</v>
      </c>
      <c r="B10" s="1302" t="s">
        <v>416</v>
      </c>
      <c r="C10" s="1303"/>
      <c r="D10" s="462">
        <v>0</v>
      </c>
      <c r="E10" s="571">
        <v>740</v>
      </c>
      <c r="F10" s="530">
        <v>940</v>
      </c>
      <c r="G10" s="590">
        <v>1030</v>
      </c>
      <c r="H10" s="467">
        <v>1030</v>
      </c>
      <c r="I10" s="1046">
        <v>1130</v>
      </c>
      <c r="J10" s="531">
        <v>0</v>
      </c>
      <c r="K10" s="1122">
        <v>0</v>
      </c>
      <c r="L10" s="1065">
        <f t="shared" si="0"/>
        <v>1130</v>
      </c>
      <c r="M10" s="468">
        <f t="shared" ref="M10" si="3">L10/F10*100</f>
        <v>120.21276595744681</v>
      </c>
      <c r="N10" s="469">
        <f t="shared" ref="N10:N11" si="4">L10/G10*100</f>
        <v>109.70873786407766</v>
      </c>
    </row>
    <row r="11" spans="1:14" s="544" customFormat="1" ht="30" customHeight="1" x14ac:dyDescent="0.2">
      <c r="A11" s="668">
        <v>2143</v>
      </c>
      <c r="B11" s="1302" t="s">
        <v>459</v>
      </c>
      <c r="C11" s="1303"/>
      <c r="D11" s="462">
        <v>0</v>
      </c>
      <c r="E11" s="465">
        <v>710.8</v>
      </c>
      <c r="F11" s="526">
        <v>0</v>
      </c>
      <c r="G11" s="466">
        <v>200</v>
      </c>
      <c r="H11" s="467">
        <v>200</v>
      </c>
      <c r="I11" s="1046">
        <v>0</v>
      </c>
      <c r="J11" s="531">
        <v>0</v>
      </c>
      <c r="K11" s="1122">
        <v>0</v>
      </c>
      <c r="L11" s="1065">
        <f t="shared" ref="L11" si="5">SUM(I11:K11)</f>
        <v>0</v>
      </c>
      <c r="M11" s="468" t="s">
        <v>60</v>
      </c>
      <c r="N11" s="469">
        <f t="shared" si="4"/>
        <v>0</v>
      </c>
    </row>
    <row r="12" spans="1:14" s="69" customFormat="1" ht="20.100000000000001" customHeight="1" x14ac:dyDescent="0.2">
      <c r="A12" s="500">
        <v>2143</v>
      </c>
      <c r="B12" s="1362" t="s">
        <v>326</v>
      </c>
      <c r="C12" s="1363"/>
      <c r="D12" s="471">
        <v>1500</v>
      </c>
      <c r="E12" s="579">
        <v>119.54</v>
      </c>
      <c r="F12" s="530">
        <v>0</v>
      </c>
      <c r="G12" s="590">
        <v>1234.2</v>
      </c>
      <c r="H12" s="466">
        <v>617.1</v>
      </c>
      <c r="I12" s="1046">
        <v>0</v>
      </c>
      <c r="J12" s="531">
        <v>0</v>
      </c>
      <c r="K12" s="1122">
        <v>0</v>
      </c>
      <c r="L12" s="1065">
        <f t="shared" si="0"/>
        <v>0</v>
      </c>
      <c r="M12" s="468" t="s">
        <v>60</v>
      </c>
      <c r="N12" s="469">
        <f t="shared" si="2"/>
        <v>0</v>
      </c>
    </row>
    <row r="13" spans="1:14" s="69" customFormat="1" ht="20.100000000000001" customHeight="1" x14ac:dyDescent="0.2">
      <c r="A13" s="500">
        <v>2143</v>
      </c>
      <c r="B13" s="1302" t="s">
        <v>439</v>
      </c>
      <c r="C13" s="1303"/>
      <c r="D13" s="471">
        <v>50</v>
      </c>
      <c r="E13" s="579">
        <v>50</v>
      </c>
      <c r="F13" s="530">
        <v>0</v>
      </c>
      <c r="G13" s="590">
        <v>0</v>
      </c>
      <c r="H13" s="571">
        <v>0</v>
      </c>
      <c r="I13" s="1046">
        <v>0</v>
      </c>
      <c r="J13" s="531">
        <v>0</v>
      </c>
      <c r="K13" s="1122">
        <v>0</v>
      </c>
      <c r="L13" s="1065">
        <f t="shared" si="0"/>
        <v>0</v>
      </c>
      <c r="M13" s="468" t="s">
        <v>60</v>
      </c>
      <c r="N13" s="469" t="s">
        <v>60</v>
      </c>
    </row>
    <row r="14" spans="1:14" s="69" customFormat="1" ht="20.100000000000001" customHeight="1" x14ac:dyDescent="0.2">
      <c r="A14" s="500">
        <v>2143</v>
      </c>
      <c r="B14" s="1362" t="s">
        <v>417</v>
      </c>
      <c r="C14" s="1363"/>
      <c r="D14" s="471">
        <v>0</v>
      </c>
      <c r="E14" s="579">
        <v>50</v>
      </c>
      <c r="F14" s="530">
        <v>500</v>
      </c>
      <c r="G14" s="590">
        <v>500</v>
      </c>
      <c r="H14" s="571">
        <v>0</v>
      </c>
      <c r="I14" s="1046">
        <v>350</v>
      </c>
      <c r="J14" s="531">
        <v>350</v>
      </c>
      <c r="K14" s="1122">
        <v>0</v>
      </c>
      <c r="L14" s="1065">
        <f t="shared" si="0"/>
        <v>700</v>
      </c>
      <c r="M14" s="468">
        <f t="shared" ref="M14:M17" si="6">L14/F14*100</f>
        <v>140</v>
      </c>
      <c r="N14" s="469">
        <f t="shared" ref="N14:N17" si="7">L14/G14*100</f>
        <v>140</v>
      </c>
    </row>
    <row r="15" spans="1:14" s="69" customFormat="1" ht="20.100000000000001" customHeight="1" x14ac:dyDescent="0.2">
      <c r="A15" s="507">
        <v>2143</v>
      </c>
      <c r="B15" s="1306" t="s">
        <v>325</v>
      </c>
      <c r="C15" s="1307"/>
      <c r="D15" s="530">
        <v>180</v>
      </c>
      <c r="E15" s="579">
        <v>205.7</v>
      </c>
      <c r="F15" s="530">
        <v>206</v>
      </c>
      <c r="G15" s="536">
        <v>206</v>
      </c>
      <c r="H15" s="579">
        <v>0</v>
      </c>
      <c r="I15" s="530">
        <v>206</v>
      </c>
      <c r="J15" s="905">
        <v>0</v>
      </c>
      <c r="K15" s="905">
        <v>0</v>
      </c>
      <c r="L15" s="1065">
        <f t="shared" si="0"/>
        <v>206</v>
      </c>
      <c r="M15" s="468">
        <f t="shared" si="6"/>
        <v>100</v>
      </c>
      <c r="N15" s="469">
        <f t="shared" si="7"/>
        <v>100</v>
      </c>
    </row>
    <row r="16" spans="1:14" s="69" customFormat="1" ht="20.100000000000001" customHeight="1" x14ac:dyDescent="0.2">
      <c r="A16" s="507">
        <v>2143</v>
      </c>
      <c r="B16" s="1306" t="s">
        <v>193</v>
      </c>
      <c r="C16" s="1307"/>
      <c r="D16" s="530">
        <v>700</v>
      </c>
      <c r="E16" s="579">
        <v>900</v>
      </c>
      <c r="F16" s="530">
        <v>1000</v>
      </c>
      <c r="G16" s="536">
        <v>1000</v>
      </c>
      <c r="H16" s="579">
        <v>0</v>
      </c>
      <c r="I16" s="530">
        <v>0</v>
      </c>
      <c r="J16" s="905">
        <v>0</v>
      </c>
      <c r="K16" s="905">
        <v>1050</v>
      </c>
      <c r="L16" s="1065">
        <f t="shared" si="0"/>
        <v>1050</v>
      </c>
      <c r="M16" s="468">
        <f t="shared" si="6"/>
        <v>105</v>
      </c>
      <c r="N16" s="469">
        <f t="shared" si="7"/>
        <v>105</v>
      </c>
    </row>
    <row r="17" spans="1:243" s="69" customFormat="1" ht="20.100000000000001" customHeight="1" x14ac:dyDescent="0.2">
      <c r="A17" s="507">
        <v>2143</v>
      </c>
      <c r="B17" s="1306" t="s">
        <v>418</v>
      </c>
      <c r="C17" s="1307"/>
      <c r="D17" s="530">
        <v>0</v>
      </c>
      <c r="E17" s="579">
        <v>2000</v>
      </c>
      <c r="F17" s="530">
        <v>2000</v>
      </c>
      <c r="G17" s="536">
        <v>2000</v>
      </c>
      <c r="H17" s="579">
        <v>0</v>
      </c>
      <c r="I17" s="530">
        <v>0</v>
      </c>
      <c r="J17" s="905">
        <v>0</v>
      </c>
      <c r="K17" s="905">
        <v>2000</v>
      </c>
      <c r="L17" s="1065">
        <f t="shared" ref="L17" si="8">SUM(I17:K17)</f>
        <v>2000</v>
      </c>
      <c r="M17" s="468">
        <f t="shared" si="6"/>
        <v>100</v>
      </c>
      <c r="N17" s="469">
        <f t="shared" si="7"/>
        <v>100</v>
      </c>
    </row>
    <row r="18" spans="1:243" s="69" customFormat="1" ht="30" customHeight="1" x14ac:dyDescent="0.2">
      <c r="A18" s="1310">
        <v>2143</v>
      </c>
      <c r="B18" s="1306" t="s">
        <v>435</v>
      </c>
      <c r="C18" s="1307"/>
      <c r="D18" s="530">
        <f t="shared" ref="D18:K18" si="9">SUM(D19:D23)</f>
        <v>40100</v>
      </c>
      <c r="E18" s="465">
        <f t="shared" si="9"/>
        <v>44926.22</v>
      </c>
      <c r="F18" s="530">
        <f t="shared" si="9"/>
        <v>44421</v>
      </c>
      <c r="G18" s="536">
        <f t="shared" si="9"/>
        <v>44481</v>
      </c>
      <c r="H18" s="474">
        <f t="shared" si="9"/>
        <v>34503.980000000003</v>
      </c>
      <c r="I18" s="530">
        <f t="shared" si="9"/>
        <v>33017</v>
      </c>
      <c r="J18" s="905">
        <f t="shared" si="9"/>
        <v>7671</v>
      </c>
      <c r="K18" s="905">
        <f t="shared" si="9"/>
        <v>2989</v>
      </c>
      <c r="L18" s="1065">
        <f t="shared" si="0"/>
        <v>43677</v>
      </c>
      <c r="M18" s="468">
        <f t="shared" si="1"/>
        <v>98.325116498953207</v>
      </c>
      <c r="N18" s="469">
        <f t="shared" si="2"/>
        <v>98.192486679705937</v>
      </c>
    </row>
    <row r="19" spans="1:243" s="69" customFormat="1" ht="15" customHeight="1" x14ac:dyDescent="0.2">
      <c r="A19" s="1311"/>
      <c r="B19" s="1365" t="s">
        <v>96</v>
      </c>
      <c r="C19" s="669" t="s">
        <v>138</v>
      </c>
      <c r="D19" s="83">
        <v>20808</v>
      </c>
      <c r="E19" s="126">
        <v>26674</v>
      </c>
      <c r="F19" s="83">
        <v>19415</v>
      </c>
      <c r="G19" s="431">
        <v>19475</v>
      </c>
      <c r="H19" s="126">
        <v>14621.24</v>
      </c>
      <c r="I19" s="83">
        <v>12706</v>
      </c>
      <c r="J19" s="906">
        <v>0</v>
      </c>
      <c r="K19" s="906">
        <v>0</v>
      </c>
      <c r="L19" s="1071">
        <f t="shared" ref="L19" si="10">SUM(I19:K19)</f>
        <v>12706</v>
      </c>
      <c r="M19" s="78">
        <f t="shared" si="1"/>
        <v>65.444244141127996</v>
      </c>
      <c r="N19" s="79">
        <f t="shared" ref="N19" si="11">L19/G19*100</f>
        <v>65.242618741976898</v>
      </c>
    </row>
    <row r="20" spans="1:243" s="69" customFormat="1" ht="15" customHeight="1" x14ac:dyDescent="0.2">
      <c r="A20" s="1311"/>
      <c r="B20" s="1366"/>
      <c r="C20" s="669" t="s">
        <v>401</v>
      </c>
      <c r="D20" s="83">
        <v>17512</v>
      </c>
      <c r="E20" s="126">
        <v>16472.22</v>
      </c>
      <c r="F20" s="83">
        <v>18488</v>
      </c>
      <c r="G20" s="431">
        <v>18488</v>
      </c>
      <c r="H20" s="126">
        <v>13865.99</v>
      </c>
      <c r="I20" s="83">
        <v>17415</v>
      </c>
      <c r="J20" s="906">
        <v>2049</v>
      </c>
      <c r="K20" s="906">
        <v>1024</v>
      </c>
      <c r="L20" s="1071">
        <f>SUM(I20:K20)</f>
        <v>20488</v>
      </c>
      <c r="M20" s="78">
        <f>L20/F20*100</f>
        <v>110.81782778018174</v>
      </c>
      <c r="N20" s="79">
        <f>L20/G20*100</f>
        <v>110.81782778018174</v>
      </c>
    </row>
    <row r="21" spans="1:243" s="69" customFormat="1" ht="15" customHeight="1" x14ac:dyDescent="0.2">
      <c r="A21" s="1311"/>
      <c r="B21" s="1366"/>
      <c r="C21" s="669" t="s">
        <v>139</v>
      </c>
      <c r="D21" s="83">
        <v>1780</v>
      </c>
      <c r="E21" s="126">
        <v>1780</v>
      </c>
      <c r="F21" s="83">
        <v>622</v>
      </c>
      <c r="G21" s="431">
        <v>622</v>
      </c>
      <c r="H21" s="126">
        <v>466.5</v>
      </c>
      <c r="I21" s="83">
        <v>0</v>
      </c>
      <c r="J21" s="906">
        <v>622</v>
      </c>
      <c r="K21" s="906">
        <v>0</v>
      </c>
      <c r="L21" s="1071">
        <f>SUM(I21:K21)</f>
        <v>622</v>
      </c>
      <c r="M21" s="78">
        <f>L21/F21*100</f>
        <v>100</v>
      </c>
      <c r="N21" s="79">
        <f>L21/G21*100</f>
        <v>100</v>
      </c>
    </row>
    <row r="22" spans="1:243" s="69" customFormat="1" ht="15" customHeight="1" x14ac:dyDescent="0.2">
      <c r="A22" s="1311"/>
      <c r="B22" s="1366"/>
      <c r="C22" s="669" t="s">
        <v>453</v>
      </c>
      <c r="D22" s="83" t="s">
        <v>60</v>
      </c>
      <c r="E22" s="82" t="s">
        <v>60</v>
      </c>
      <c r="F22" s="83">
        <v>896</v>
      </c>
      <c r="G22" s="431">
        <v>896</v>
      </c>
      <c r="H22" s="95">
        <v>671.99</v>
      </c>
      <c r="I22" s="83">
        <v>896</v>
      </c>
      <c r="J22" s="906">
        <v>0</v>
      </c>
      <c r="K22" s="906">
        <v>0</v>
      </c>
      <c r="L22" s="1071">
        <f t="shared" ref="L22" si="12">SUM(I22:K22)</f>
        <v>896</v>
      </c>
      <c r="M22" s="78">
        <f t="shared" ref="M22:M23" si="13">L22/F22*100</f>
        <v>100</v>
      </c>
      <c r="N22" s="79">
        <f t="shared" ref="N22:N23" si="14">L22/G22*100</f>
        <v>100</v>
      </c>
    </row>
    <row r="23" spans="1:243" s="69" customFormat="1" ht="15" customHeight="1" x14ac:dyDescent="0.2">
      <c r="A23" s="1315"/>
      <c r="B23" s="1367"/>
      <c r="C23" s="669" t="s">
        <v>443</v>
      </c>
      <c r="D23" s="83">
        <v>0</v>
      </c>
      <c r="E23" s="126">
        <v>0</v>
      </c>
      <c r="F23" s="83">
        <v>5000</v>
      </c>
      <c r="G23" s="431">
        <v>5000</v>
      </c>
      <c r="H23" s="126">
        <v>4878.26</v>
      </c>
      <c r="I23" s="83">
        <v>2000</v>
      </c>
      <c r="J23" s="906">
        <v>5000</v>
      </c>
      <c r="K23" s="906">
        <v>1965</v>
      </c>
      <c r="L23" s="1071">
        <f t="shared" ref="L23" si="15">SUM(I23:K23)</f>
        <v>8965</v>
      </c>
      <c r="M23" s="78">
        <f t="shared" si="13"/>
        <v>179.29999999999998</v>
      </c>
      <c r="N23" s="79">
        <f t="shared" si="14"/>
        <v>179.29999999999998</v>
      </c>
    </row>
    <row r="24" spans="1:243" s="544" customFormat="1" ht="66" customHeight="1" x14ac:dyDescent="0.2">
      <c r="A24" s="668">
        <v>3311</v>
      </c>
      <c r="B24" s="1362" t="s">
        <v>337</v>
      </c>
      <c r="C24" s="1363"/>
      <c r="D24" s="462">
        <v>4000</v>
      </c>
      <c r="E24" s="465">
        <v>4580</v>
      </c>
      <c r="F24" s="526">
        <v>4000</v>
      </c>
      <c r="G24" s="466">
        <v>4000</v>
      </c>
      <c r="H24" s="467">
        <v>3999</v>
      </c>
      <c r="I24" s="1046">
        <v>0</v>
      </c>
      <c r="J24" s="531">
        <v>5500</v>
      </c>
      <c r="K24" s="1122">
        <v>0</v>
      </c>
      <c r="L24" s="1076">
        <f t="shared" ref="L24:L41" si="16">SUM(I24:K24)</f>
        <v>5500</v>
      </c>
      <c r="M24" s="468">
        <f>L24/F24*100</f>
        <v>137.5</v>
      </c>
      <c r="N24" s="469">
        <f>L24/G24*100</f>
        <v>137.5</v>
      </c>
    </row>
    <row r="25" spans="1:243" s="544" customFormat="1" ht="20.100000000000001" customHeight="1" x14ac:dyDescent="0.2">
      <c r="A25" s="1344" t="s">
        <v>440</v>
      </c>
      <c r="B25" s="1345"/>
      <c r="C25" s="1321"/>
      <c r="D25" s="462">
        <v>0</v>
      </c>
      <c r="E25" s="465">
        <f>SUM(E26:E27)</f>
        <v>1014.94</v>
      </c>
      <c r="F25" s="526">
        <v>0</v>
      </c>
      <c r="G25" s="466">
        <v>0</v>
      </c>
      <c r="H25" s="467">
        <v>0</v>
      </c>
      <c r="I25" s="1046">
        <v>0</v>
      </c>
      <c r="J25" s="531">
        <v>0</v>
      </c>
      <c r="K25" s="1122">
        <v>0</v>
      </c>
      <c r="L25" s="1076">
        <f t="shared" ref="L25:L27" si="17">SUM(I25:K25)</f>
        <v>0</v>
      </c>
      <c r="M25" s="468" t="s">
        <v>60</v>
      </c>
      <c r="N25" s="469" t="s">
        <v>60</v>
      </c>
    </row>
    <row r="26" spans="1:243" ht="20.100000000000001" customHeight="1" x14ac:dyDescent="0.2">
      <c r="A26" s="603">
        <v>3311</v>
      </c>
      <c r="B26" s="1340" t="s">
        <v>508</v>
      </c>
      <c r="C26" s="1341"/>
      <c r="D26" s="432">
        <v>0</v>
      </c>
      <c r="E26" s="121">
        <v>90.75</v>
      </c>
      <c r="F26" s="432">
        <v>0</v>
      </c>
      <c r="G26" s="119">
        <v>0</v>
      </c>
      <c r="H26" s="120">
        <v>0</v>
      </c>
      <c r="I26" s="654">
        <v>0</v>
      </c>
      <c r="J26" s="984">
        <v>0</v>
      </c>
      <c r="K26" s="988">
        <v>0</v>
      </c>
      <c r="L26" s="1110">
        <f t="shared" si="17"/>
        <v>0</v>
      </c>
      <c r="M26" s="635" t="s">
        <v>60</v>
      </c>
      <c r="N26" s="636" t="s">
        <v>60</v>
      </c>
      <c r="O26" s="85"/>
      <c r="P26" s="85"/>
      <c r="Q26" s="86"/>
      <c r="R26" s="86"/>
      <c r="S26" s="86"/>
      <c r="T26" s="86"/>
      <c r="U26" s="86"/>
    </row>
    <row r="27" spans="1:243" ht="20.100000000000001" customHeight="1" x14ac:dyDescent="0.2">
      <c r="A27" s="603">
        <v>3312</v>
      </c>
      <c r="B27" s="1340" t="s">
        <v>462</v>
      </c>
      <c r="C27" s="1341"/>
      <c r="D27" s="432">
        <v>0</v>
      </c>
      <c r="E27" s="121">
        <v>924.19</v>
      </c>
      <c r="F27" s="432">
        <v>0</v>
      </c>
      <c r="G27" s="119">
        <v>0</v>
      </c>
      <c r="H27" s="120">
        <v>0</v>
      </c>
      <c r="I27" s="654">
        <v>0</v>
      </c>
      <c r="J27" s="984">
        <v>0</v>
      </c>
      <c r="K27" s="988">
        <v>0</v>
      </c>
      <c r="L27" s="1110">
        <f t="shared" si="17"/>
        <v>0</v>
      </c>
      <c r="M27" s="635" t="s">
        <v>60</v>
      </c>
      <c r="N27" s="636" t="s">
        <v>60</v>
      </c>
      <c r="O27" s="85"/>
      <c r="P27" s="85"/>
      <c r="Q27" s="86"/>
      <c r="R27" s="86"/>
      <c r="S27" s="86"/>
      <c r="T27" s="86"/>
      <c r="U27" s="86"/>
    </row>
    <row r="28" spans="1:243" s="487" customFormat="1" ht="29.25" customHeight="1" x14ac:dyDescent="0.2">
      <c r="A28" s="1311">
        <v>3314</v>
      </c>
      <c r="B28" s="1362" t="s">
        <v>205</v>
      </c>
      <c r="C28" s="1363"/>
      <c r="D28" s="462">
        <f>SUM(D29:D32)</f>
        <v>37987</v>
      </c>
      <c r="E28" s="465">
        <f t="shared" ref="E28:K28" si="18">SUM(E29:E32)</f>
        <v>41058.270000000004</v>
      </c>
      <c r="F28" s="526">
        <f t="shared" si="18"/>
        <v>45772</v>
      </c>
      <c r="G28" s="466">
        <f t="shared" si="18"/>
        <v>45800</v>
      </c>
      <c r="H28" s="466">
        <f t="shared" si="18"/>
        <v>34356.97</v>
      </c>
      <c r="I28" s="1046">
        <f t="shared" si="18"/>
        <v>40915</v>
      </c>
      <c r="J28" s="531">
        <f t="shared" si="18"/>
        <v>3815</v>
      </c>
      <c r="K28" s="1122">
        <f t="shared" si="18"/>
        <v>1500</v>
      </c>
      <c r="L28" s="1076">
        <f t="shared" si="16"/>
        <v>46230</v>
      </c>
      <c r="M28" s="468">
        <f t="shared" ref="M28:M29" si="19">L28/F28*100</f>
        <v>101.00061172769379</v>
      </c>
      <c r="N28" s="469">
        <f t="shared" ref="N28:N29" si="20">L28/G28*100</f>
        <v>100.93886462882095</v>
      </c>
    </row>
    <row r="29" spans="1:243" s="88" customFormat="1" ht="15" customHeight="1" x14ac:dyDescent="0.2">
      <c r="A29" s="1311"/>
      <c r="B29" s="1312" t="s">
        <v>96</v>
      </c>
      <c r="C29" s="669" t="s">
        <v>138</v>
      </c>
      <c r="D29" s="74">
        <v>7172</v>
      </c>
      <c r="E29" s="367">
        <v>9310.64</v>
      </c>
      <c r="F29" s="433">
        <v>8477</v>
      </c>
      <c r="G29" s="76">
        <v>8505</v>
      </c>
      <c r="H29" s="84">
        <v>6385.74</v>
      </c>
      <c r="I29" s="433">
        <v>8935</v>
      </c>
      <c r="J29" s="1117">
        <v>0</v>
      </c>
      <c r="K29" s="1118">
        <v>0</v>
      </c>
      <c r="L29" s="1071">
        <f t="shared" si="16"/>
        <v>8935</v>
      </c>
      <c r="M29" s="78">
        <f t="shared" si="19"/>
        <v>105.40285478353191</v>
      </c>
      <c r="N29" s="79">
        <f t="shared" si="20"/>
        <v>105.05584950029395</v>
      </c>
      <c r="II29" s="699"/>
    </row>
    <row r="30" spans="1:243" s="88" customFormat="1" ht="15" customHeight="1" x14ac:dyDescent="0.2">
      <c r="A30" s="1311"/>
      <c r="B30" s="1313"/>
      <c r="C30" s="669" t="s">
        <v>401</v>
      </c>
      <c r="D30" s="74">
        <v>30000</v>
      </c>
      <c r="E30" s="367">
        <v>30932.63</v>
      </c>
      <c r="F30" s="433">
        <v>32684</v>
      </c>
      <c r="G30" s="76">
        <v>32684</v>
      </c>
      <c r="H30" s="84">
        <v>24512.99</v>
      </c>
      <c r="I30" s="433">
        <v>28184</v>
      </c>
      <c r="J30" s="1117">
        <v>3000</v>
      </c>
      <c r="K30" s="1118">
        <v>1500</v>
      </c>
      <c r="L30" s="1071">
        <f>SUM(I30:K30)</f>
        <v>32684</v>
      </c>
      <c r="M30" s="78">
        <f>L30/F30*100</f>
        <v>100</v>
      </c>
      <c r="N30" s="79">
        <f>L30/G30*100</f>
        <v>100</v>
      </c>
      <c r="II30" s="699"/>
    </row>
    <row r="31" spans="1:243" s="88" customFormat="1" ht="15" customHeight="1" x14ac:dyDescent="0.2">
      <c r="A31" s="1311"/>
      <c r="B31" s="1313"/>
      <c r="C31" s="669" t="s">
        <v>139</v>
      </c>
      <c r="D31" s="74">
        <v>815</v>
      </c>
      <c r="E31" s="367">
        <v>815</v>
      </c>
      <c r="F31" s="433">
        <v>815</v>
      </c>
      <c r="G31" s="76">
        <v>815</v>
      </c>
      <c r="H31" s="84">
        <v>611.24</v>
      </c>
      <c r="I31" s="433">
        <v>0</v>
      </c>
      <c r="J31" s="1117">
        <v>815</v>
      </c>
      <c r="K31" s="1118">
        <v>0</v>
      </c>
      <c r="L31" s="1071">
        <f>SUM(I31:K31)</f>
        <v>815</v>
      </c>
      <c r="M31" s="78">
        <f>L31/F31*100</f>
        <v>100</v>
      </c>
      <c r="N31" s="79">
        <f>L31/G31*100</f>
        <v>100</v>
      </c>
      <c r="II31" s="699"/>
    </row>
    <row r="32" spans="1:243" s="88" customFormat="1" ht="15" customHeight="1" x14ac:dyDescent="0.2">
      <c r="A32" s="1311"/>
      <c r="B32" s="1314"/>
      <c r="C32" s="669" t="s">
        <v>453</v>
      </c>
      <c r="D32" s="83" t="s">
        <v>60</v>
      </c>
      <c r="E32" s="82" t="s">
        <v>60</v>
      </c>
      <c r="F32" s="83">
        <v>3796</v>
      </c>
      <c r="G32" s="431">
        <v>3796</v>
      </c>
      <c r="H32" s="95">
        <v>2847</v>
      </c>
      <c r="I32" s="433">
        <v>3796</v>
      </c>
      <c r="J32" s="1117">
        <v>0</v>
      </c>
      <c r="K32" s="1118">
        <v>0</v>
      </c>
      <c r="L32" s="1071">
        <f t="shared" ref="L32" si="21">SUM(I32:K32)</f>
        <v>3796</v>
      </c>
      <c r="M32" s="78">
        <f>L32/F32*100</f>
        <v>100</v>
      </c>
      <c r="N32" s="79">
        <f>L32/G32*100</f>
        <v>100</v>
      </c>
      <c r="II32" s="699"/>
    </row>
    <row r="33" spans="1:21" s="487" customFormat="1" ht="30" customHeight="1" x14ac:dyDescent="0.2">
      <c r="A33" s="1310">
        <v>3314</v>
      </c>
      <c r="B33" s="1362" t="s">
        <v>577</v>
      </c>
      <c r="C33" s="1363"/>
      <c r="D33" s="494">
        <f>SUM(D34:D38)</f>
        <v>15694</v>
      </c>
      <c r="E33" s="525">
        <f t="shared" ref="E33:K33" si="22">SUM(E34:E38)</f>
        <v>15903.2</v>
      </c>
      <c r="F33" s="526">
        <f t="shared" si="22"/>
        <v>17854</v>
      </c>
      <c r="G33" s="496">
        <f t="shared" si="22"/>
        <v>17854</v>
      </c>
      <c r="H33" s="504">
        <f t="shared" si="22"/>
        <v>7450.5</v>
      </c>
      <c r="I33" s="1081">
        <f t="shared" si="22"/>
        <v>18033</v>
      </c>
      <c r="J33" s="1082">
        <f t="shared" si="22"/>
        <v>250</v>
      </c>
      <c r="K33" s="1083">
        <f t="shared" si="22"/>
        <v>0</v>
      </c>
      <c r="L33" s="1065">
        <f t="shared" si="16"/>
        <v>18283</v>
      </c>
      <c r="M33" s="476">
        <f t="shared" ref="M33:M40" si="23">L33/F33*100</f>
        <v>102.40282289682985</v>
      </c>
      <c r="N33" s="477">
        <f t="shared" ref="N33:N41" si="24">L33/G33*100</f>
        <v>102.40282289682985</v>
      </c>
    </row>
    <row r="34" spans="1:21" s="88" customFormat="1" ht="15" customHeight="1" x14ac:dyDescent="0.2">
      <c r="A34" s="1311"/>
      <c r="B34" s="1359" t="s">
        <v>96</v>
      </c>
      <c r="C34" s="181" t="s">
        <v>209</v>
      </c>
      <c r="D34" s="74">
        <v>7402</v>
      </c>
      <c r="E34" s="367">
        <v>7402</v>
      </c>
      <c r="F34" s="433">
        <v>7920</v>
      </c>
      <c r="G34" s="76">
        <v>7920</v>
      </c>
      <c r="H34" s="84">
        <v>0</v>
      </c>
      <c r="I34" s="1004">
        <v>8000</v>
      </c>
      <c r="J34" s="1117">
        <v>250</v>
      </c>
      <c r="K34" s="1118">
        <v>0</v>
      </c>
      <c r="L34" s="1071">
        <f t="shared" si="16"/>
        <v>8250</v>
      </c>
      <c r="M34" s="78">
        <f t="shared" si="23"/>
        <v>104.16666666666667</v>
      </c>
      <c r="N34" s="79">
        <f t="shared" si="24"/>
        <v>104.16666666666667</v>
      </c>
    </row>
    <row r="35" spans="1:21" s="88" customFormat="1" ht="15" customHeight="1" x14ac:dyDescent="0.2">
      <c r="A35" s="1311"/>
      <c r="B35" s="1360"/>
      <c r="C35" s="181" t="s">
        <v>210</v>
      </c>
      <c r="D35" s="74">
        <v>1618</v>
      </c>
      <c r="E35" s="367">
        <v>1657.2</v>
      </c>
      <c r="F35" s="433">
        <v>1957</v>
      </c>
      <c r="G35" s="76">
        <v>1957</v>
      </c>
      <c r="H35" s="84">
        <v>1467.75</v>
      </c>
      <c r="I35" s="1004">
        <v>1977</v>
      </c>
      <c r="J35" s="1117">
        <v>0</v>
      </c>
      <c r="K35" s="1118">
        <v>0</v>
      </c>
      <c r="L35" s="1071">
        <f t="shared" si="16"/>
        <v>1977</v>
      </c>
      <c r="M35" s="78">
        <f t="shared" si="23"/>
        <v>101.02197240674502</v>
      </c>
      <c r="N35" s="79">
        <f t="shared" si="24"/>
        <v>101.02197240674502</v>
      </c>
    </row>
    <row r="36" spans="1:21" s="88" customFormat="1" ht="15" customHeight="1" x14ac:dyDescent="0.2">
      <c r="A36" s="1311"/>
      <c r="B36" s="1360"/>
      <c r="C36" s="181" t="s">
        <v>211</v>
      </c>
      <c r="D36" s="74">
        <v>2611</v>
      </c>
      <c r="E36" s="367">
        <v>2677.4</v>
      </c>
      <c r="F36" s="433">
        <v>3102</v>
      </c>
      <c r="G36" s="76">
        <v>3102</v>
      </c>
      <c r="H36" s="84">
        <v>2326.5</v>
      </c>
      <c r="I36" s="1004">
        <v>3133</v>
      </c>
      <c r="J36" s="1117">
        <v>0</v>
      </c>
      <c r="K36" s="1118">
        <v>0</v>
      </c>
      <c r="L36" s="1071">
        <f t="shared" si="16"/>
        <v>3133</v>
      </c>
      <c r="M36" s="78">
        <f t="shared" si="23"/>
        <v>100.99935525467441</v>
      </c>
      <c r="N36" s="79">
        <f t="shared" si="24"/>
        <v>100.99935525467441</v>
      </c>
    </row>
    <row r="37" spans="1:21" s="88" customFormat="1" ht="15" customHeight="1" x14ac:dyDescent="0.2">
      <c r="A37" s="1311"/>
      <c r="B37" s="1360"/>
      <c r="C37" s="181" t="s">
        <v>212</v>
      </c>
      <c r="D37" s="80">
        <v>2024</v>
      </c>
      <c r="E37" s="367">
        <v>2077.6</v>
      </c>
      <c r="F37" s="433">
        <v>2435</v>
      </c>
      <c r="G37" s="81">
        <v>2435</v>
      </c>
      <c r="H37" s="82">
        <v>1826.25</v>
      </c>
      <c r="I37" s="83">
        <v>2459</v>
      </c>
      <c r="J37" s="906">
        <v>0</v>
      </c>
      <c r="K37" s="907">
        <v>0</v>
      </c>
      <c r="L37" s="1071">
        <f t="shared" si="16"/>
        <v>2459</v>
      </c>
      <c r="M37" s="78">
        <f t="shared" si="23"/>
        <v>100.98562628336755</v>
      </c>
      <c r="N37" s="79">
        <f t="shared" si="24"/>
        <v>100.98562628336755</v>
      </c>
    </row>
    <row r="38" spans="1:21" s="88" customFormat="1" ht="15" customHeight="1" x14ac:dyDescent="0.2">
      <c r="A38" s="1315"/>
      <c r="B38" s="1361"/>
      <c r="C38" s="181" t="s">
        <v>213</v>
      </c>
      <c r="D38" s="74">
        <v>2039</v>
      </c>
      <c r="E38" s="367">
        <v>2089</v>
      </c>
      <c r="F38" s="433">
        <v>2440</v>
      </c>
      <c r="G38" s="76">
        <v>2440</v>
      </c>
      <c r="H38" s="84">
        <v>1830</v>
      </c>
      <c r="I38" s="1004">
        <v>2464</v>
      </c>
      <c r="J38" s="1117">
        <v>0</v>
      </c>
      <c r="K38" s="1118">
        <v>0</v>
      </c>
      <c r="L38" s="1071">
        <f t="shared" si="16"/>
        <v>2464</v>
      </c>
      <c r="M38" s="78">
        <f t="shared" si="23"/>
        <v>100.98360655737706</v>
      </c>
      <c r="N38" s="79">
        <f t="shared" si="24"/>
        <v>100.98360655737706</v>
      </c>
    </row>
    <row r="39" spans="1:21" s="487" customFormat="1" ht="33" customHeight="1" x14ac:dyDescent="0.2">
      <c r="A39" s="507">
        <v>3314</v>
      </c>
      <c r="B39" s="1302" t="s">
        <v>589</v>
      </c>
      <c r="C39" s="1303"/>
      <c r="D39" s="471">
        <v>0</v>
      </c>
      <c r="E39" s="525">
        <v>0</v>
      </c>
      <c r="F39" s="473">
        <v>0</v>
      </c>
      <c r="G39" s="474">
        <v>0</v>
      </c>
      <c r="H39" s="475">
        <v>0</v>
      </c>
      <c r="I39" s="530">
        <v>0</v>
      </c>
      <c r="J39" s="905">
        <v>250</v>
      </c>
      <c r="K39" s="1125">
        <v>0</v>
      </c>
      <c r="L39" s="1065">
        <f t="shared" si="16"/>
        <v>250</v>
      </c>
      <c r="M39" s="476" t="s">
        <v>60</v>
      </c>
      <c r="N39" s="477" t="s">
        <v>60</v>
      </c>
    </row>
    <row r="40" spans="1:21" ht="20.100000000000001" customHeight="1" x14ac:dyDescent="0.2">
      <c r="A40" s="1344" t="s">
        <v>460</v>
      </c>
      <c r="B40" s="1345"/>
      <c r="C40" s="1321"/>
      <c r="D40" s="471">
        <f t="shared" ref="D40:K40" si="25">SUM(D41:D43)</f>
        <v>7000</v>
      </c>
      <c r="E40" s="525">
        <f t="shared" si="25"/>
        <v>9707.9500000000007</v>
      </c>
      <c r="F40" s="473">
        <f t="shared" si="25"/>
        <v>7500</v>
      </c>
      <c r="G40" s="474">
        <f t="shared" si="25"/>
        <v>9232.14</v>
      </c>
      <c r="H40" s="475">
        <f t="shared" si="25"/>
        <v>7772.58</v>
      </c>
      <c r="I40" s="530">
        <f t="shared" si="25"/>
        <v>0</v>
      </c>
      <c r="J40" s="905">
        <f t="shared" si="25"/>
        <v>4500</v>
      </c>
      <c r="K40" s="1125">
        <f t="shared" si="25"/>
        <v>4365</v>
      </c>
      <c r="L40" s="1076">
        <f t="shared" si="16"/>
        <v>8865</v>
      </c>
      <c r="M40" s="476">
        <f t="shared" si="23"/>
        <v>118.19999999999999</v>
      </c>
      <c r="N40" s="477">
        <f t="shared" si="24"/>
        <v>96.023240548778517</v>
      </c>
      <c r="O40" s="85"/>
      <c r="P40" s="85"/>
      <c r="Q40" s="86"/>
      <c r="R40" s="86"/>
      <c r="S40" s="86"/>
      <c r="T40" s="86"/>
      <c r="U40" s="86"/>
    </row>
    <row r="41" spans="1:21" ht="20.100000000000001" customHeight="1" x14ac:dyDescent="0.2">
      <c r="A41" s="603">
        <v>3314</v>
      </c>
      <c r="B41" s="1340" t="s">
        <v>352</v>
      </c>
      <c r="C41" s="1341"/>
      <c r="D41" s="432">
        <v>0</v>
      </c>
      <c r="E41" s="121">
        <v>50</v>
      </c>
      <c r="F41" s="432">
        <v>0</v>
      </c>
      <c r="G41" s="119">
        <v>130.69999999999999</v>
      </c>
      <c r="H41" s="120">
        <v>130.69999999999999</v>
      </c>
      <c r="I41" s="654">
        <v>0</v>
      </c>
      <c r="J41" s="984">
        <v>0</v>
      </c>
      <c r="K41" s="1144">
        <v>0</v>
      </c>
      <c r="L41" s="1110">
        <f t="shared" si="16"/>
        <v>0</v>
      </c>
      <c r="M41" s="635" t="s">
        <v>60</v>
      </c>
      <c r="N41" s="636">
        <f t="shared" si="24"/>
        <v>0</v>
      </c>
      <c r="O41" s="85"/>
      <c r="P41" s="85"/>
      <c r="Q41" s="86"/>
      <c r="R41" s="86"/>
      <c r="S41" s="86"/>
      <c r="T41" s="86"/>
      <c r="U41" s="86"/>
    </row>
    <row r="42" spans="1:21" ht="20.100000000000001" customHeight="1" x14ac:dyDescent="0.2">
      <c r="A42" s="603">
        <v>3315</v>
      </c>
      <c r="B42" s="1340" t="s">
        <v>197</v>
      </c>
      <c r="C42" s="1341"/>
      <c r="D42" s="432">
        <v>7000</v>
      </c>
      <c r="E42" s="121">
        <v>9534.9500000000007</v>
      </c>
      <c r="F42" s="432">
        <v>7500</v>
      </c>
      <c r="G42" s="119">
        <v>8795.9599999999991</v>
      </c>
      <c r="H42" s="120">
        <v>7336.4</v>
      </c>
      <c r="I42" s="654">
        <v>0</v>
      </c>
      <c r="J42" s="984">
        <v>4500</v>
      </c>
      <c r="K42" s="1144">
        <v>4365</v>
      </c>
      <c r="L42" s="1110">
        <f t="shared" ref="L42:L47" si="26">SUM(I42:K42)</f>
        <v>8865</v>
      </c>
      <c r="M42" s="635">
        <f t="shared" ref="M42:M52" si="27">L42/F42*100</f>
        <v>118.19999999999999</v>
      </c>
      <c r="N42" s="636">
        <f t="shared" ref="N42:N64" si="28">L42/G42*100</f>
        <v>100.78490579766166</v>
      </c>
      <c r="O42" s="85"/>
      <c r="P42" s="85"/>
      <c r="Q42" s="86"/>
      <c r="R42" s="86"/>
      <c r="S42" s="86"/>
      <c r="T42" s="86"/>
      <c r="U42" s="86"/>
    </row>
    <row r="43" spans="1:21" ht="20.100000000000001" customHeight="1" x14ac:dyDescent="0.2">
      <c r="A43" s="603">
        <v>3321</v>
      </c>
      <c r="B43" s="1340" t="s">
        <v>461</v>
      </c>
      <c r="C43" s="1341"/>
      <c r="D43" s="432">
        <v>0</v>
      </c>
      <c r="E43" s="121">
        <v>123</v>
      </c>
      <c r="F43" s="432">
        <v>0</v>
      </c>
      <c r="G43" s="119">
        <v>305.48</v>
      </c>
      <c r="H43" s="120">
        <v>305.48</v>
      </c>
      <c r="I43" s="654">
        <v>0</v>
      </c>
      <c r="J43" s="984">
        <v>0</v>
      </c>
      <c r="K43" s="1144">
        <v>0</v>
      </c>
      <c r="L43" s="1110">
        <f t="shared" si="26"/>
        <v>0</v>
      </c>
      <c r="M43" s="635" t="s">
        <v>60</v>
      </c>
      <c r="N43" s="636">
        <f t="shared" ref="N43" si="29">L43/G43*100</f>
        <v>0</v>
      </c>
      <c r="O43" s="85"/>
      <c r="P43" s="85"/>
      <c r="Q43" s="86"/>
      <c r="R43" s="86"/>
      <c r="S43" s="86"/>
      <c r="T43" s="86"/>
      <c r="U43" s="86"/>
    </row>
    <row r="44" spans="1:21" s="487" customFormat="1" ht="33" customHeight="1" x14ac:dyDescent="0.2">
      <c r="A44" s="507">
        <v>3315</v>
      </c>
      <c r="B44" s="1302" t="s">
        <v>282</v>
      </c>
      <c r="C44" s="1303"/>
      <c r="D44" s="471">
        <v>300</v>
      </c>
      <c r="E44" s="525">
        <v>0</v>
      </c>
      <c r="F44" s="473">
        <v>600</v>
      </c>
      <c r="G44" s="474">
        <v>159.43</v>
      </c>
      <c r="H44" s="475">
        <v>0</v>
      </c>
      <c r="I44" s="530">
        <v>0</v>
      </c>
      <c r="J44" s="905">
        <v>0</v>
      </c>
      <c r="K44" s="1125">
        <v>600</v>
      </c>
      <c r="L44" s="1065">
        <f t="shared" si="26"/>
        <v>600</v>
      </c>
      <c r="M44" s="476">
        <f t="shared" si="27"/>
        <v>100</v>
      </c>
      <c r="N44" s="477">
        <f t="shared" si="28"/>
        <v>376.34071379288713</v>
      </c>
    </row>
    <row r="45" spans="1:21" s="487" customFormat="1" ht="20.100000000000001" customHeight="1" x14ac:dyDescent="0.2">
      <c r="A45" s="507">
        <v>3315</v>
      </c>
      <c r="B45" s="1302" t="s">
        <v>420</v>
      </c>
      <c r="C45" s="1303"/>
      <c r="D45" s="471">
        <v>0</v>
      </c>
      <c r="E45" s="525">
        <v>0</v>
      </c>
      <c r="F45" s="473">
        <v>655</v>
      </c>
      <c r="G45" s="474">
        <v>95.3</v>
      </c>
      <c r="H45" s="475">
        <v>0</v>
      </c>
      <c r="I45" s="530">
        <v>0</v>
      </c>
      <c r="J45" s="905">
        <v>0</v>
      </c>
      <c r="K45" s="1125">
        <v>655</v>
      </c>
      <c r="L45" s="1065">
        <f t="shared" si="26"/>
        <v>655</v>
      </c>
      <c r="M45" s="476">
        <f t="shared" si="27"/>
        <v>100</v>
      </c>
      <c r="N45" s="477">
        <f t="shared" si="28"/>
        <v>687.30325288562437</v>
      </c>
    </row>
    <row r="46" spans="1:21" s="487" customFormat="1" ht="20.100000000000001" customHeight="1" x14ac:dyDescent="0.2">
      <c r="A46" s="507">
        <v>3315</v>
      </c>
      <c r="B46" s="1302" t="s">
        <v>575</v>
      </c>
      <c r="C46" s="1303"/>
      <c r="D46" s="471">
        <v>0</v>
      </c>
      <c r="E46" s="525">
        <v>0</v>
      </c>
      <c r="F46" s="473">
        <v>0</v>
      </c>
      <c r="G46" s="474">
        <v>0</v>
      </c>
      <c r="H46" s="475">
        <v>0</v>
      </c>
      <c r="I46" s="530">
        <v>0</v>
      </c>
      <c r="J46" s="905">
        <v>200</v>
      </c>
      <c r="K46" s="1125">
        <v>200</v>
      </c>
      <c r="L46" s="1065">
        <f t="shared" si="26"/>
        <v>400</v>
      </c>
      <c r="M46" s="476" t="s">
        <v>60</v>
      </c>
      <c r="N46" s="477" t="s">
        <v>60</v>
      </c>
    </row>
    <row r="47" spans="1:21" s="544" customFormat="1" ht="30" customHeight="1" x14ac:dyDescent="0.2">
      <c r="A47" s="1310">
        <v>3315</v>
      </c>
      <c r="B47" s="1302" t="s">
        <v>206</v>
      </c>
      <c r="C47" s="1303"/>
      <c r="D47" s="494">
        <f>SUM(D48:D51)</f>
        <v>305434</v>
      </c>
      <c r="E47" s="525">
        <f t="shared" ref="E47:K47" si="30">SUM(E48:E51)</f>
        <v>339335.76</v>
      </c>
      <c r="F47" s="526">
        <f t="shared" si="30"/>
        <v>368308</v>
      </c>
      <c r="G47" s="496">
        <f t="shared" si="30"/>
        <v>370006</v>
      </c>
      <c r="H47" s="504">
        <f t="shared" si="30"/>
        <v>277381.89</v>
      </c>
      <c r="I47" s="530">
        <f t="shared" si="30"/>
        <v>322614</v>
      </c>
      <c r="J47" s="905">
        <f t="shared" si="30"/>
        <v>37544</v>
      </c>
      <c r="K47" s="1145">
        <f t="shared" si="30"/>
        <v>13646</v>
      </c>
      <c r="L47" s="1065">
        <f t="shared" si="26"/>
        <v>373804</v>
      </c>
      <c r="M47" s="476">
        <f t="shared" si="27"/>
        <v>101.49222932980007</v>
      </c>
      <c r="N47" s="477">
        <f t="shared" si="28"/>
        <v>101.02646984102961</v>
      </c>
    </row>
    <row r="48" spans="1:21" s="88" customFormat="1" ht="15" customHeight="1" x14ac:dyDescent="0.2">
      <c r="A48" s="1311"/>
      <c r="B48" s="1312" t="s">
        <v>96</v>
      </c>
      <c r="C48" s="669" t="s">
        <v>138</v>
      </c>
      <c r="D48" s="74">
        <v>53313</v>
      </c>
      <c r="E48" s="367">
        <v>78525.919999999998</v>
      </c>
      <c r="F48" s="433">
        <v>52092</v>
      </c>
      <c r="G48" s="76">
        <v>53790</v>
      </c>
      <c r="H48" s="84">
        <v>40252.75</v>
      </c>
      <c r="I48" s="1004">
        <v>53843</v>
      </c>
      <c r="J48" s="1117">
        <v>0</v>
      </c>
      <c r="K48" s="1118">
        <v>0</v>
      </c>
      <c r="L48" s="1071">
        <f t="shared" ref="L48" si="31">SUM(I48:K48)</f>
        <v>53843</v>
      </c>
      <c r="M48" s="78">
        <f t="shared" si="27"/>
        <v>103.36136066958458</v>
      </c>
      <c r="N48" s="79">
        <f t="shared" si="28"/>
        <v>100.0985313255252</v>
      </c>
    </row>
    <row r="49" spans="1:14" s="88" customFormat="1" ht="15" customHeight="1" x14ac:dyDescent="0.2">
      <c r="A49" s="1311"/>
      <c r="B49" s="1313"/>
      <c r="C49" s="669" t="s">
        <v>401</v>
      </c>
      <c r="D49" s="74">
        <v>240422</v>
      </c>
      <c r="E49" s="367">
        <v>249110.84</v>
      </c>
      <c r="F49" s="433">
        <v>272600</v>
      </c>
      <c r="G49" s="76">
        <v>272600</v>
      </c>
      <c r="H49" s="84">
        <v>204413.58</v>
      </c>
      <c r="I49" s="1004">
        <v>234643</v>
      </c>
      <c r="J49" s="1117">
        <v>27293</v>
      </c>
      <c r="K49" s="1118">
        <v>13646</v>
      </c>
      <c r="L49" s="1071">
        <f>SUM(I49:K49)</f>
        <v>275582</v>
      </c>
      <c r="M49" s="78">
        <f>L49/F49*100</f>
        <v>101.09391049156274</v>
      </c>
      <c r="N49" s="79">
        <f>L49/G49*100</f>
        <v>101.09391049156274</v>
      </c>
    </row>
    <row r="50" spans="1:14" s="88" customFormat="1" ht="15" customHeight="1" x14ac:dyDescent="0.2">
      <c r="A50" s="1311"/>
      <c r="B50" s="1313"/>
      <c r="C50" s="366" t="s">
        <v>139</v>
      </c>
      <c r="D50" s="74">
        <v>11699</v>
      </c>
      <c r="E50" s="367">
        <v>11699</v>
      </c>
      <c r="F50" s="433">
        <v>10251</v>
      </c>
      <c r="G50" s="76">
        <v>10251</v>
      </c>
      <c r="H50" s="84">
        <v>7612.69</v>
      </c>
      <c r="I50" s="1004">
        <v>0</v>
      </c>
      <c r="J50" s="1117">
        <v>10251</v>
      </c>
      <c r="K50" s="1118">
        <v>0</v>
      </c>
      <c r="L50" s="1071">
        <f>SUM(I50:K50)</f>
        <v>10251</v>
      </c>
      <c r="M50" s="133">
        <f>L50/F50*100</f>
        <v>100</v>
      </c>
      <c r="N50" s="73">
        <f>L50/G50*100</f>
        <v>100</v>
      </c>
    </row>
    <row r="51" spans="1:14" s="88" customFormat="1" ht="15" customHeight="1" x14ac:dyDescent="0.2">
      <c r="A51" s="1311"/>
      <c r="B51" s="1313"/>
      <c r="C51" s="669" t="s">
        <v>453</v>
      </c>
      <c r="D51" s="83" t="s">
        <v>60</v>
      </c>
      <c r="E51" s="82" t="s">
        <v>60</v>
      </c>
      <c r="F51" s="83">
        <v>33365</v>
      </c>
      <c r="G51" s="431">
        <v>33365</v>
      </c>
      <c r="H51" s="95">
        <v>25102.87</v>
      </c>
      <c r="I51" s="1004">
        <v>34128</v>
      </c>
      <c r="J51" s="1117">
        <v>0</v>
      </c>
      <c r="K51" s="1118">
        <v>0</v>
      </c>
      <c r="L51" s="1071">
        <f t="shared" ref="L51" si="32">SUM(I51:K51)</f>
        <v>34128</v>
      </c>
      <c r="M51" s="133">
        <f>L51/F51*100</f>
        <v>102.28682751386182</v>
      </c>
      <c r="N51" s="73">
        <f>L51/G51*100</f>
        <v>102.28682751386182</v>
      </c>
    </row>
    <row r="52" spans="1:14" s="487" customFormat="1" ht="20.100000000000001" customHeight="1" x14ac:dyDescent="0.2">
      <c r="A52" s="1342" t="s">
        <v>185</v>
      </c>
      <c r="B52" s="1343"/>
      <c r="C52" s="1303"/>
      <c r="D52" s="494">
        <f>SUM(D53:D55)</f>
        <v>2000</v>
      </c>
      <c r="E52" s="525">
        <f t="shared" ref="E52:K52" si="33">SUM(E53:E55)</f>
        <v>2223.16</v>
      </c>
      <c r="F52" s="526">
        <f t="shared" si="33"/>
        <v>2000</v>
      </c>
      <c r="G52" s="496">
        <f t="shared" si="33"/>
        <v>2304.8000000000002</v>
      </c>
      <c r="H52" s="504">
        <f t="shared" si="33"/>
        <v>1427.81</v>
      </c>
      <c r="I52" s="530">
        <f t="shared" si="33"/>
        <v>0</v>
      </c>
      <c r="J52" s="905">
        <f t="shared" si="33"/>
        <v>2000</v>
      </c>
      <c r="K52" s="1090">
        <f t="shared" si="33"/>
        <v>0</v>
      </c>
      <c r="L52" s="1065">
        <f>SUM(I52:K52)</f>
        <v>2000</v>
      </c>
      <c r="M52" s="476">
        <f t="shared" si="27"/>
        <v>100</v>
      </c>
      <c r="N52" s="477">
        <f t="shared" si="28"/>
        <v>86.775425199583466</v>
      </c>
    </row>
    <row r="53" spans="1:14" s="102" customFormat="1" ht="20.100000000000001" customHeight="1" x14ac:dyDescent="0.2">
      <c r="A53" s="603">
        <v>3314</v>
      </c>
      <c r="B53" s="1340" t="s">
        <v>352</v>
      </c>
      <c r="C53" s="1341"/>
      <c r="D53" s="866">
        <v>0</v>
      </c>
      <c r="E53" s="867">
        <v>0</v>
      </c>
      <c r="F53" s="432">
        <v>0</v>
      </c>
      <c r="G53" s="814">
        <v>605</v>
      </c>
      <c r="H53" s="868">
        <v>605</v>
      </c>
      <c r="I53" s="1146">
        <v>0</v>
      </c>
      <c r="J53" s="1147">
        <v>0</v>
      </c>
      <c r="K53" s="1148">
        <v>0</v>
      </c>
      <c r="L53" s="1110">
        <f>SUM(I53:K53)</f>
        <v>0</v>
      </c>
      <c r="M53" s="790" t="s">
        <v>60</v>
      </c>
      <c r="N53" s="869">
        <f t="shared" ref="N53" si="34">L53/G53*100</f>
        <v>0</v>
      </c>
    </row>
    <row r="54" spans="1:14" s="102" customFormat="1" ht="20.100000000000001" customHeight="1" x14ac:dyDescent="0.2">
      <c r="A54" s="603">
        <v>3315</v>
      </c>
      <c r="B54" s="1340" t="s">
        <v>358</v>
      </c>
      <c r="C54" s="1341"/>
      <c r="D54" s="866">
        <v>2000</v>
      </c>
      <c r="E54" s="867">
        <v>2063.21</v>
      </c>
      <c r="F54" s="432">
        <v>2000</v>
      </c>
      <c r="G54" s="814">
        <v>1699.8</v>
      </c>
      <c r="H54" s="868">
        <v>822.81</v>
      </c>
      <c r="I54" s="1146">
        <v>0</v>
      </c>
      <c r="J54" s="1147">
        <v>2000</v>
      </c>
      <c r="K54" s="1148">
        <v>0</v>
      </c>
      <c r="L54" s="1110">
        <f>SUM(I54:K54)</f>
        <v>2000</v>
      </c>
      <c r="M54" s="790">
        <f t="shared" ref="M54:M59" si="35">L54/F54*100</f>
        <v>100</v>
      </c>
      <c r="N54" s="869">
        <f t="shared" si="28"/>
        <v>117.66090128250384</v>
      </c>
    </row>
    <row r="55" spans="1:14" s="102" customFormat="1" ht="20.100000000000001" customHeight="1" x14ac:dyDescent="0.2">
      <c r="A55" s="603">
        <v>3321</v>
      </c>
      <c r="B55" s="1340" t="s">
        <v>461</v>
      </c>
      <c r="C55" s="1341"/>
      <c r="D55" s="866">
        <v>0</v>
      </c>
      <c r="E55" s="867">
        <v>159.94999999999999</v>
      </c>
      <c r="F55" s="432">
        <v>0</v>
      </c>
      <c r="G55" s="814">
        <v>0</v>
      </c>
      <c r="H55" s="868">
        <v>0</v>
      </c>
      <c r="I55" s="1146">
        <v>0</v>
      </c>
      <c r="J55" s="1147">
        <v>0</v>
      </c>
      <c r="K55" s="1148">
        <v>0</v>
      </c>
      <c r="L55" s="1110">
        <f>SUM(I55:K55)</f>
        <v>0</v>
      </c>
      <c r="M55" s="790" t="s">
        <v>60</v>
      </c>
      <c r="N55" s="869" t="s">
        <v>60</v>
      </c>
    </row>
    <row r="56" spans="1:14" s="88" customFormat="1" ht="15" customHeight="1" x14ac:dyDescent="0.2">
      <c r="A56" s="865"/>
      <c r="B56" s="368" t="s">
        <v>96</v>
      </c>
      <c r="C56" s="594" t="s">
        <v>139</v>
      </c>
      <c r="D56" s="74">
        <v>2000</v>
      </c>
      <c r="E56" s="367">
        <v>2223.16</v>
      </c>
      <c r="F56" s="433">
        <v>2000</v>
      </c>
      <c r="G56" s="76">
        <f>+G52</f>
        <v>2304.8000000000002</v>
      </c>
      <c r="H56" s="84">
        <f t="shared" ref="H56:K56" si="36">+H52</f>
        <v>1427.81</v>
      </c>
      <c r="I56" s="1004">
        <f t="shared" si="36"/>
        <v>0</v>
      </c>
      <c r="J56" s="1117">
        <f t="shared" si="36"/>
        <v>2000</v>
      </c>
      <c r="K56" s="1118">
        <f t="shared" si="36"/>
        <v>0</v>
      </c>
      <c r="L56" s="1071">
        <f>SUM(I56:K56)</f>
        <v>2000</v>
      </c>
      <c r="M56" s="78">
        <f t="shared" si="35"/>
        <v>100</v>
      </c>
      <c r="N56" s="79">
        <f t="shared" si="28"/>
        <v>86.775425199583466</v>
      </c>
    </row>
    <row r="57" spans="1:14" s="90" customFormat="1" ht="20.100000000000001" customHeight="1" x14ac:dyDescent="0.2">
      <c r="A57" s="1344" t="s">
        <v>329</v>
      </c>
      <c r="B57" s="1345"/>
      <c r="C57" s="1345"/>
      <c r="D57" s="494">
        <f>SUM(D58:D59)</f>
        <v>600</v>
      </c>
      <c r="E57" s="525">
        <f t="shared" ref="E57:K57" si="37">SUM(E58:E59)</f>
        <v>970.87</v>
      </c>
      <c r="F57" s="473">
        <f t="shared" si="37"/>
        <v>600</v>
      </c>
      <c r="G57" s="496">
        <v>530</v>
      </c>
      <c r="H57" s="504">
        <f t="shared" si="37"/>
        <v>0</v>
      </c>
      <c r="I57" s="1081">
        <v>300</v>
      </c>
      <c r="J57" s="1082">
        <v>300</v>
      </c>
      <c r="K57" s="1083">
        <f t="shared" si="37"/>
        <v>0</v>
      </c>
      <c r="L57" s="1065">
        <f t="shared" ref="L57" si="38">SUM(I57:K57)</f>
        <v>600</v>
      </c>
      <c r="M57" s="476">
        <f t="shared" si="35"/>
        <v>100</v>
      </c>
      <c r="N57" s="477">
        <f t="shared" ref="N57" si="39">L57/G57*100</f>
        <v>113.20754716981132</v>
      </c>
    </row>
    <row r="58" spans="1:14" s="102" customFormat="1" ht="20.100000000000001" customHeight="1" x14ac:dyDescent="0.2">
      <c r="A58" s="603">
        <v>3315</v>
      </c>
      <c r="B58" s="1340" t="s">
        <v>358</v>
      </c>
      <c r="C58" s="1341"/>
      <c r="D58" s="866">
        <v>0</v>
      </c>
      <c r="E58" s="867">
        <v>0</v>
      </c>
      <c r="F58" s="432">
        <v>200</v>
      </c>
      <c r="G58" s="814">
        <v>200</v>
      </c>
      <c r="H58" s="868">
        <v>0</v>
      </c>
      <c r="I58" s="1146">
        <v>0</v>
      </c>
      <c r="J58" s="1147">
        <v>200</v>
      </c>
      <c r="K58" s="1148">
        <v>0</v>
      </c>
      <c r="L58" s="1110">
        <f>SUM(I58:K58)</f>
        <v>200</v>
      </c>
      <c r="M58" s="790">
        <f t="shared" si="35"/>
        <v>100</v>
      </c>
      <c r="N58" s="869">
        <f>L58/G58*100</f>
        <v>100</v>
      </c>
    </row>
    <row r="59" spans="1:14" s="102" customFormat="1" ht="20.100000000000001" customHeight="1" x14ac:dyDescent="0.2">
      <c r="A59" s="603">
        <v>3321</v>
      </c>
      <c r="B59" s="1340" t="s">
        <v>461</v>
      </c>
      <c r="C59" s="1341"/>
      <c r="D59" s="866">
        <v>600</v>
      </c>
      <c r="E59" s="867">
        <v>970.87</v>
      </c>
      <c r="F59" s="432">
        <v>400</v>
      </c>
      <c r="G59" s="814">
        <v>330</v>
      </c>
      <c r="H59" s="868">
        <v>0</v>
      </c>
      <c r="I59" s="1146">
        <v>300</v>
      </c>
      <c r="J59" s="1147">
        <v>100</v>
      </c>
      <c r="K59" s="1148">
        <v>0</v>
      </c>
      <c r="L59" s="1110">
        <f>SUM(I59:K59)</f>
        <v>400</v>
      </c>
      <c r="M59" s="790">
        <f t="shared" si="35"/>
        <v>100</v>
      </c>
      <c r="N59" s="869">
        <f>L59/G59*100</f>
        <v>121.21212121212122</v>
      </c>
    </row>
    <row r="60" spans="1:14" s="544" customFormat="1" ht="30" customHeight="1" x14ac:dyDescent="0.2">
      <c r="A60" s="507">
        <v>3319</v>
      </c>
      <c r="B60" s="1302" t="s">
        <v>576</v>
      </c>
      <c r="C60" s="1303"/>
      <c r="D60" s="494">
        <v>0</v>
      </c>
      <c r="E60" s="525">
        <v>0</v>
      </c>
      <c r="F60" s="473">
        <v>0</v>
      </c>
      <c r="G60" s="496">
        <v>200</v>
      </c>
      <c r="H60" s="504">
        <v>15</v>
      </c>
      <c r="I60" s="1081">
        <v>0</v>
      </c>
      <c r="J60" s="1082">
        <v>0</v>
      </c>
      <c r="K60" s="1083">
        <v>200</v>
      </c>
      <c r="L60" s="1065">
        <f t="shared" ref="L60:L62" si="40">SUM(I60:K60)</f>
        <v>200</v>
      </c>
      <c r="M60" s="476" t="s">
        <v>60</v>
      </c>
      <c r="N60" s="477">
        <f t="shared" ref="N60" si="41">L60/G60*100</f>
        <v>100</v>
      </c>
    </row>
    <row r="61" spans="1:14" s="544" customFormat="1" ht="20.100000000000001" customHeight="1" x14ac:dyDescent="0.2">
      <c r="A61" s="507">
        <v>3319</v>
      </c>
      <c r="B61" s="1302" t="s">
        <v>357</v>
      </c>
      <c r="C61" s="1303"/>
      <c r="D61" s="494">
        <v>2500</v>
      </c>
      <c r="E61" s="525">
        <v>29.64</v>
      </c>
      <c r="F61" s="473">
        <v>0</v>
      </c>
      <c r="G61" s="496">
        <v>2116.62</v>
      </c>
      <c r="H61" s="504">
        <v>161.51</v>
      </c>
      <c r="I61" s="1081">
        <v>0</v>
      </c>
      <c r="J61" s="1082">
        <v>0</v>
      </c>
      <c r="K61" s="1083">
        <v>0</v>
      </c>
      <c r="L61" s="1065">
        <f t="shared" si="40"/>
        <v>0</v>
      </c>
      <c r="M61" s="476" t="s">
        <v>60</v>
      </c>
      <c r="N61" s="477">
        <f t="shared" si="28"/>
        <v>0</v>
      </c>
    </row>
    <row r="62" spans="1:14" s="544" customFormat="1" ht="20.100000000000001" customHeight="1" x14ac:dyDescent="0.2">
      <c r="A62" s="507">
        <v>3319</v>
      </c>
      <c r="B62" s="1302" t="s">
        <v>217</v>
      </c>
      <c r="C62" s="1303"/>
      <c r="D62" s="494">
        <v>935</v>
      </c>
      <c r="E62" s="525">
        <v>720.14</v>
      </c>
      <c r="F62" s="473">
        <v>1000</v>
      </c>
      <c r="G62" s="496">
        <v>951.26</v>
      </c>
      <c r="H62" s="504">
        <v>331.18</v>
      </c>
      <c r="I62" s="1081">
        <v>0</v>
      </c>
      <c r="J62" s="1082">
        <v>500</v>
      </c>
      <c r="K62" s="1083">
        <v>500</v>
      </c>
      <c r="L62" s="1065">
        <f t="shared" si="40"/>
        <v>1000</v>
      </c>
      <c r="M62" s="476">
        <f>L62/F62*100</f>
        <v>100</v>
      </c>
      <c r="N62" s="477">
        <f t="shared" si="28"/>
        <v>105.12373063095264</v>
      </c>
    </row>
    <row r="63" spans="1:14" s="544" customFormat="1" ht="23.25" customHeight="1" x14ac:dyDescent="0.2">
      <c r="A63" s="1342" t="s">
        <v>214</v>
      </c>
      <c r="B63" s="1343"/>
      <c r="C63" s="1303"/>
      <c r="D63" s="494">
        <f t="shared" ref="D63:K63" si="42">+D69+D67+D64</f>
        <v>2941</v>
      </c>
      <c r="E63" s="525">
        <f t="shared" si="42"/>
        <v>3767</v>
      </c>
      <c r="F63" s="473">
        <f t="shared" si="42"/>
        <v>4275</v>
      </c>
      <c r="G63" s="496">
        <f t="shared" si="42"/>
        <v>5381.4</v>
      </c>
      <c r="H63" s="504">
        <f t="shared" si="42"/>
        <v>1886.4</v>
      </c>
      <c r="I63" s="1081">
        <f t="shared" si="42"/>
        <v>0</v>
      </c>
      <c r="J63" s="1082">
        <f t="shared" si="42"/>
        <v>3300</v>
      </c>
      <c r="K63" s="1083">
        <f t="shared" si="42"/>
        <v>1975</v>
      </c>
      <c r="L63" s="1065">
        <f t="shared" ref="L63" si="43">SUM(I63:K63)</f>
        <v>5275</v>
      </c>
      <c r="M63" s="476">
        <f>L63/F63*100</f>
        <v>123.39181286549707</v>
      </c>
      <c r="N63" s="477">
        <f t="shared" si="28"/>
        <v>98.022819340692024</v>
      </c>
    </row>
    <row r="64" spans="1:14" s="544" customFormat="1" ht="20.100000000000001" customHeight="1" x14ac:dyDescent="0.2">
      <c r="A64" s="1370">
        <v>3312</v>
      </c>
      <c r="B64" s="1340" t="s">
        <v>462</v>
      </c>
      <c r="C64" s="1341"/>
      <c r="D64" s="866">
        <f>SUM(D65:D66)</f>
        <v>1376</v>
      </c>
      <c r="E64" s="867">
        <f t="shared" ref="E64:K64" si="44">SUM(E65:E66)</f>
        <v>1775</v>
      </c>
      <c r="F64" s="432">
        <f t="shared" si="44"/>
        <v>1575</v>
      </c>
      <c r="G64" s="814">
        <f t="shared" si="44"/>
        <v>1575</v>
      </c>
      <c r="H64" s="868">
        <f t="shared" si="44"/>
        <v>0</v>
      </c>
      <c r="I64" s="1146">
        <f t="shared" si="44"/>
        <v>0</v>
      </c>
      <c r="J64" s="1147">
        <f t="shared" si="44"/>
        <v>600</v>
      </c>
      <c r="K64" s="1148">
        <f t="shared" si="44"/>
        <v>975</v>
      </c>
      <c r="L64" s="1110">
        <f>SUM(I64:K64)</f>
        <v>1575</v>
      </c>
      <c r="M64" s="790">
        <f>L64/F64*100</f>
        <v>100</v>
      </c>
      <c r="N64" s="869">
        <f t="shared" si="28"/>
        <v>100</v>
      </c>
    </row>
    <row r="65" spans="1:14" s="544" customFormat="1" ht="15" customHeight="1" x14ac:dyDescent="0.2">
      <c r="A65" s="1372"/>
      <c r="B65" s="1323" t="s">
        <v>96</v>
      </c>
      <c r="C65" s="703" t="s">
        <v>463</v>
      </c>
      <c r="D65" s="74">
        <v>600</v>
      </c>
      <c r="E65" s="367">
        <v>800</v>
      </c>
      <c r="F65" s="433">
        <v>600</v>
      </c>
      <c r="G65" s="76">
        <v>600</v>
      </c>
      <c r="H65" s="84">
        <v>0</v>
      </c>
      <c r="I65" s="1004">
        <v>0</v>
      </c>
      <c r="J65" s="1117">
        <v>600</v>
      </c>
      <c r="K65" s="1118">
        <v>0</v>
      </c>
      <c r="L65" s="1200">
        <f>SUM(I65:K65)</f>
        <v>600</v>
      </c>
      <c r="M65" s="1201">
        <f>L65/F65*100</f>
        <v>100</v>
      </c>
      <c r="N65" s="1202">
        <f>L65/G65*100</f>
        <v>100</v>
      </c>
    </row>
    <row r="66" spans="1:14" s="88" customFormat="1" ht="15" customHeight="1" x14ac:dyDescent="0.2">
      <c r="A66" s="1371"/>
      <c r="B66" s="1324"/>
      <c r="C66" s="681" t="s">
        <v>464</v>
      </c>
      <c r="D66" s="74">
        <v>776</v>
      </c>
      <c r="E66" s="367">
        <v>975</v>
      </c>
      <c r="F66" s="433">
        <v>975</v>
      </c>
      <c r="G66" s="76">
        <v>975</v>
      </c>
      <c r="H66" s="84">
        <v>0</v>
      </c>
      <c r="I66" s="1004">
        <v>0</v>
      </c>
      <c r="J66" s="1117">
        <v>0</v>
      </c>
      <c r="K66" s="1118">
        <v>975</v>
      </c>
      <c r="L66" s="1114">
        <f>SUM(I66:K66)</f>
        <v>975</v>
      </c>
      <c r="M66" s="829">
        <f t="shared" ref="M66" si="45">L66/F66*100</f>
        <v>100</v>
      </c>
      <c r="N66" s="870">
        <f>L66/G66*100</f>
        <v>100</v>
      </c>
    </row>
    <row r="67" spans="1:14" s="160" customFormat="1" ht="20.100000000000001" customHeight="1" x14ac:dyDescent="0.2">
      <c r="A67" s="1370">
        <v>3313</v>
      </c>
      <c r="B67" s="1340" t="s">
        <v>419</v>
      </c>
      <c r="C67" s="1341"/>
      <c r="D67" s="866">
        <f t="shared" ref="D67:K67" si="46">SUM(D68:D68)</f>
        <v>0</v>
      </c>
      <c r="E67" s="867">
        <f t="shared" si="46"/>
        <v>0</v>
      </c>
      <c r="F67" s="432">
        <f t="shared" si="46"/>
        <v>1000</v>
      </c>
      <c r="G67" s="814">
        <f t="shared" si="46"/>
        <v>1500</v>
      </c>
      <c r="H67" s="868">
        <f t="shared" si="46"/>
        <v>1000</v>
      </c>
      <c r="I67" s="1146">
        <f t="shared" si="46"/>
        <v>0</v>
      </c>
      <c r="J67" s="1147">
        <f t="shared" si="46"/>
        <v>0</v>
      </c>
      <c r="K67" s="1148">
        <f t="shared" si="46"/>
        <v>1000</v>
      </c>
      <c r="L67" s="1149">
        <f>SUM(I67:K67)</f>
        <v>1000</v>
      </c>
      <c r="M67" s="790">
        <f>L67/F67*100</f>
        <v>100</v>
      </c>
      <c r="N67" s="869">
        <f t="shared" ref="N67:N68" si="47">L67/G67*100</f>
        <v>66.666666666666657</v>
      </c>
    </row>
    <row r="68" spans="1:14" s="160" customFormat="1" ht="15" customHeight="1" x14ac:dyDescent="0.2">
      <c r="A68" s="1371"/>
      <c r="B68" s="1049"/>
      <c r="C68" s="1199" t="s">
        <v>557</v>
      </c>
      <c r="D68" s="74">
        <v>0</v>
      </c>
      <c r="E68" s="367">
        <v>0</v>
      </c>
      <c r="F68" s="433">
        <v>1000</v>
      </c>
      <c r="G68" s="76">
        <v>1500</v>
      </c>
      <c r="H68" s="84">
        <v>1000</v>
      </c>
      <c r="I68" s="1004">
        <v>0</v>
      </c>
      <c r="J68" s="1117">
        <v>0</v>
      </c>
      <c r="K68" s="1118">
        <v>1000</v>
      </c>
      <c r="L68" s="1071">
        <f t="shared" ref="L68" si="48">SUM(I68:K68)</f>
        <v>1000</v>
      </c>
      <c r="M68" s="829">
        <f t="shared" ref="M68" si="49">L68/F68*100</f>
        <v>100</v>
      </c>
      <c r="N68" s="870">
        <f t="shared" si="47"/>
        <v>66.666666666666657</v>
      </c>
    </row>
    <row r="69" spans="1:14" s="544" customFormat="1" ht="20.100000000000001" customHeight="1" x14ac:dyDescent="0.2">
      <c r="A69" s="1370">
        <v>3319</v>
      </c>
      <c r="B69" s="1340" t="s">
        <v>362</v>
      </c>
      <c r="C69" s="1341"/>
      <c r="D69" s="866">
        <f t="shared" ref="D69:K69" si="50">SUM(D70:D75)</f>
        <v>1565</v>
      </c>
      <c r="E69" s="867">
        <f t="shared" si="50"/>
        <v>1992</v>
      </c>
      <c r="F69" s="432">
        <f t="shared" si="50"/>
        <v>1700</v>
      </c>
      <c r="G69" s="814">
        <f t="shared" si="50"/>
        <v>2306.4</v>
      </c>
      <c r="H69" s="868">
        <f t="shared" si="50"/>
        <v>886.4</v>
      </c>
      <c r="I69" s="1146">
        <f t="shared" si="50"/>
        <v>0</v>
      </c>
      <c r="J69" s="1147">
        <f t="shared" si="50"/>
        <v>2700</v>
      </c>
      <c r="K69" s="1148">
        <f t="shared" si="50"/>
        <v>0</v>
      </c>
      <c r="L69" s="1110">
        <f>SUM(I69:K69)</f>
        <v>2700</v>
      </c>
      <c r="M69" s="790">
        <f>L69/F69*100</f>
        <v>158.8235294117647</v>
      </c>
      <c r="N69" s="869">
        <f t="shared" ref="N69" si="51">L69/G69*100</f>
        <v>117.06555671175857</v>
      </c>
    </row>
    <row r="70" spans="1:14" s="88" customFormat="1" ht="15" customHeight="1" x14ac:dyDescent="0.2">
      <c r="A70" s="1372"/>
      <c r="B70" s="1357" t="s">
        <v>96</v>
      </c>
      <c r="C70" s="669" t="s">
        <v>270</v>
      </c>
      <c r="D70" s="74">
        <v>65</v>
      </c>
      <c r="E70" s="367">
        <v>0</v>
      </c>
      <c r="F70" s="433">
        <v>0</v>
      </c>
      <c r="G70" s="76">
        <v>0</v>
      </c>
      <c r="H70" s="84">
        <v>0</v>
      </c>
      <c r="I70" s="1004">
        <v>0</v>
      </c>
      <c r="J70" s="1117">
        <v>0</v>
      </c>
      <c r="K70" s="1118">
        <v>0</v>
      </c>
      <c r="L70" s="1071">
        <f t="shared" ref="L70:L74" si="52">SUM(I70:K70)</f>
        <v>0</v>
      </c>
      <c r="M70" s="829" t="s">
        <v>60</v>
      </c>
      <c r="N70" s="870" t="s">
        <v>60</v>
      </c>
    </row>
    <row r="71" spans="1:14" s="88" customFormat="1" ht="15" customHeight="1" x14ac:dyDescent="0.2">
      <c r="A71" s="1372"/>
      <c r="B71" s="1358"/>
      <c r="C71" s="366" t="s">
        <v>215</v>
      </c>
      <c r="D71" s="80">
        <v>500</v>
      </c>
      <c r="E71" s="367">
        <v>600</v>
      </c>
      <c r="F71" s="433">
        <v>500</v>
      </c>
      <c r="G71" s="81">
        <v>500</v>
      </c>
      <c r="H71" s="82">
        <v>0</v>
      </c>
      <c r="I71" s="83">
        <v>0</v>
      </c>
      <c r="J71" s="906">
        <v>500</v>
      </c>
      <c r="K71" s="907">
        <v>0</v>
      </c>
      <c r="L71" s="1071">
        <f>SUM(I71:K71)</f>
        <v>500</v>
      </c>
      <c r="M71" s="78">
        <f>L71/F71*100</f>
        <v>100</v>
      </c>
      <c r="N71" s="79">
        <f>L71/G71*100</f>
        <v>100</v>
      </c>
    </row>
    <row r="72" spans="1:14" s="701" customFormat="1" ht="15" customHeight="1" x14ac:dyDescent="0.2">
      <c r="A72" s="1372"/>
      <c r="B72" s="1358"/>
      <c r="C72" s="702" t="s">
        <v>216</v>
      </c>
      <c r="D72" s="74">
        <v>300</v>
      </c>
      <c r="E72" s="367">
        <v>0</v>
      </c>
      <c r="F72" s="433">
        <v>300</v>
      </c>
      <c r="G72" s="76">
        <v>20</v>
      </c>
      <c r="H72" s="84">
        <v>0</v>
      </c>
      <c r="I72" s="1004">
        <v>0</v>
      </c>
      <c r="J72" s="1117">
        <v>300</v>
      </c>
      <c r="K72" s="1118">
        <v>0</v>
      </c>
      <c r="L72" s="1071">
        <f t="shared" si="52"/>
        <v>300</v>
      </c>
      <c r="M72" s="829">
        <f t="shared" ref="M72" si="53">L72/F72*100</f>
        <v>100</v>
      </c>
      <c r="N72" s="870" t="s">
        <v>60</v>
      </c>
    </row>
    <row r="73" spans="1:14" s="701" customFormat="1" ht="15" customHeight="1" x14ac:dyDescent="0.2">
      <c r="A73" s="1372"/>
      <c r="B73" s="1358"/>
      <c r="C73" s="703" t="s">
        <v>421</v>
      </c>
      <c r="D73" s="74">
        <v>700</v>
      </c>
      <c r="E73" s="367">
        <v>700</v>
      </c>
      <c r="F73" s="433">
        <v>700</v>
      </c>
      <c r="G73" s="76">
        <v>700</v>
      </c>
      <c r="H73" s="84">
        <v>0</v>
      </c>
      <c r="I73" s="1004">
        <v>0</v>
      </c>
      <c r="J73" s="1117">
        <v>700</v>
      </c>
      <c r="K73" s="1118">
        <v>0</v>
      </c>
      <c r="L73" s="1071">
        <f t="shared" si="52"/>
        <v>700</v>
      </c>
      <c r="M73" s="78">
        <f t="shared" ref="M73:M75" si="54">L73/F73*100</f>
        <v>100</v>
      </c>
      <c r="N73" s="79">
        <f t="shared" ref="N73:N75" si="55">L73/G73*100</f>
        <v>100</v>
      </c>
    </row>
    <row r="74" spans="1:14" s="701" customFormat="1" ht="15" customHeight="1" x14ac:dyDescent="0.2">
      <c r="A74" s="1372"/>
      <c r="B74" s="1358"/>
      <c r="C74" s="955" t="s">
        <v>556</v>
      </c>
      <c r="D74" s="74">
        <v>0</v>
      </c>
      <c r="E74" s="367">
        <v>692</v>
      </c>
      <c r="F74" s="433">
        <v>0</v>
      </c>
      <c r="G74" s="76">
        <v>886.4</v>
      </c>
      <c r="H74" s="84">
        <v>886.4</v>
      </c>
      <c r="I74" s="1004">
        <v>0</v>
      </c>
      <c r="J74" s="1117">
        <v>1000</v>
      </c>
      <c r="K74" s="1118">
        <v>0</v>
      </c>
      <c r="L74" s="1071">
        <f t="shared" si="52"/>
        <v>1000</v>
      </c>
      <c r="M74" s="829" t="s">
        <v>60</v>
      </c>
      <c r="N74" s="870">
        <f t="shared" si="55"/>
        <v>112.81588447653431</v>
      </c>
    </row>
    <row r="75" spans="1:14" s="701" customFormat="1" ht="15" customHeight="1" x14ac:dyDescent="0.2">
      <c r="A75" s="1371"/>
      <c r="B75" s="1373"/>
      <c r="C75" s="703" t="s">
        <v>271</v>
      </c>
      <c r="D75" s="74">
        <v>0</v>
      </c>
      <c r="E75" s="367">
        <v>0</v>
      </c>
      <c r="F75" s="433">
        <v>200</v>
      </c>
      <c r="G75" s="76">
        <v>200</v>
      </c>
      <c r="H75" s="84">
        <v>0</v>
      </c>
      <c r="I75" s="1004">
        <v>0</v>
      </c>
      <c r="J75" s="1117">
        <v>200</v>
      </c>
      <c r="K75" s="1118">
        <v>0</v>
      </c>
      <c r="L75" s="1071">
        <f>SUM(I75:K75)</f>
        <v>200</v>
      </c>
      <c r="M75" s="829">
        <f t="shared" si="54"/>
        <v>100</v>
      </c>
      <c r="N75" s="870">
        <f t="shared" si="55"/>
        <v>100</v>
      </c>
    </row>
    <row r="76" spans="1:14" s="701" customFormat="1" ht="20.100000000000001" customHeight="1" x14ac:dyDescent="0.2">
      <c r="A76" s="1342" t="s">
        <v>441</v>
      </c>
      <c r="B76" s="1343"/>
      <c r="C76" s="1303"/>
      <c r="D76" s="471">
        <f>SUM(D77:D78)</f>
        <v>0</v>
      </c>
      <c r="E76" s="525">
        <f t="shared" ref="E76:K76" si="56">SUM(E77:E78)</f>
        <v>2000</v>
      </c>
      <c r="F76" s="473">
        <f t="shared" si="56"/>
        <v>0</v>
      </c>
      <c r="G76" s="474">
        <f t="shared" si="56"/>
        <v>0</v>
      </c>
      <c r="H76" s="475">
        <f t="shared" si="56"/>
        <v>0</v>
      </c>
      <c r="I76" s="530">
        <f t="shared" si="56"/>
        <v>0</v>
      </c>
      <c r="J76" s="905">
        <f t="shared" si="56"/>
        <v>0</v>
      </c>
      <c r="K76" s="1087">
        <f t="shared" si="56"/>
        <v>0</v>
      </c>
      <c r="L76" s="1065">
        <f>SUM(I76:K76)</f>
        <v>0</v>
      </c>
      <c r="M76" s="476" t="s">
        <v>60</v>
      </c>
      <c r="N76" s="477" t="s">
        <v>60</v>
      </c>
    </row>
    <row r="77" spans="1:14" s="160" customFormat="1" ht="20.100000000000001" customHeight="1" x14ac:dyDescent="0.2">
      <c r="A77" s="603">
        <v>3319</v>
      </c>
      <c r="B77" s="1340" t="s">
        <v>362</v>
      </c>
      <c r="C77" s="1341"/>
      <c r="D77" s="866">
        <v>0</v>
      </c>
      <c r="E77" s="867">
        <v>500</v>
      </c>
      <c r="F77" s="432">
        <v>0</v>
      </c>
      <c r="G77" s="814">
        <v>0</v>
      </c>
      <c r="H77" s="868">
        <v>0</v>
      </c>
      <c r="I77" s="1146">
        <v>0</v>
      </c>
      <c r="J77" s="1147">
        <v>0</v>
      </c>
      <c r="K77" s="1148">
        <v>0</v>
      </c>
      <c r="L77" s="1110">
        <f>SUM(I77:K77)</f>
        <v>0</v>
      </c>
      <c r="M77" s="790" t="s">
        <v>60</v>
      </c>
      <c r="N77" s="869" t="s">
        <v>60</v>
      </c>
    </row>
    <row r="78" spans="1:14" s="102" customFormat="1" ht="20.100000000000001" customHeight="1" x14ac:dyDescent="0.2">
      <c r="A78" s="871">
        <v>3419</v>
      </c>
      <c r="B78" s="1340" t="s">
        <v>300</v>
      </c>
      <c r="C78" s="1341"/>
      <c r="D78" s="872">
        <v>0</v>
      </c>
      <c r="E78" s="867">
        <v>1500</v>
      </c>
      <c r="F78" s="432">
        <v>0</v>
      </c>
      <c r="G78" s="119">
        <v>0</v>
      </c>
      <c r="H78" s="120">
        <v>0</v>
      </c>
      <c r="I78" s="654">
        <v>0</v>
      </c>
      <c r="J78" s="984">
        <v>0</v>
      </c>
      <c r="K78" s="1144">
        <v>0</v>
      </c>
      <c r="L78" s="1110">
        <f>SUM(I78:K78)</f>
        <v>0</v>
      </c>
      <c r="M78" s="790" t="s">
        <v>60</v>
      </c>
      <c r="N78" s="869" t="s">
        <v>60</v>
      </c>
    </row>
    <row r="79" spans="1:14" s="704" customFormat="1" ht="30.75" customHeight="1" x14ac:dyDescent="0.2">
      <c r="A79" s="1310">
        <v>3321</v>
      </c>
      <c r="B79" s="1302" t="s">
        <v>207</v>
      </c>
      <c r="C79" s="1303"/>
      <c r="D79" s="494">
        <f>SUM(D80:D83)</f>
        <v>17386</v>
      </c>
      <c r="E79" s="525">
        <f t="shared" ref="E79:K79" si="57">SUM(E80:E83)</f>
        <v>18886.97</v>
      </c>
      <c r="F79" s="494">
        <f t="shared" si="57"/>
        <v>21338</v>
      </c>
      <c r="G79" s="496">
        <f t="shared" si="57"/>
        <v>21413</v>
      </c>
      <c r="H79" s="504">
        <f t="shared" si="57"/>
        <v>16074.82</v>
      </c>
      <c r="I79" s="1082">
        <f t="shared" si="57"/>
        <v>18756</v>
      </c>
      <c r="J79" s="1082">
        <f t="shared" si="57"/>
        <v>1878</v>
      </c>
      <c r="K79" s="1082">
        <f t="shared" si="57"/>
        <v>917</v>
      </c>
      <c r="L79" s="1065">
        <f t="shared" ref="L79:L80" si="58">SUM(I79:K79)</f>
        <v>21551</v>
      </c>
      <c r="M79" s="476">
        <f t="shared" ref="M79:M87" si="59">L79/F79*100</f>
        <v>100.99821913956322</v>
      </c>
      <c r="N79" s="477">
        <f t="shared" ref="N79" si="60">L79/G79*100</f>
        <v>100.64446831364124</v>
      </c>
    </row>
    <row r="80" spans="1:14" s="88" customFormat="1" ht="15" customHeight="1" x14ac:dyDescent="0.2">
      <c r="A80" s="1311"/>
      <c r="B80" s="1357" t="s">
        <v>96</v>
      </c>
      <c r="C80" s="669" t="s">
        <v>138</v>
      </c>
      <c r="D80" s="74">
        <v>172</v>
      </c>
      <c r="E80" s="367">
        <v>1136.3399999999999</v>
      </c>
      <c r="F80" s="433">
        <v>0</v>
      </c>
      <c r="G80" s="76">
        <v>75</v>
      </c>
      <c r="H80" s="84">
        <v>75</v>
      </c>
      <c r="I80" s="1004">
        <v>213</v>
      </c>
      <c r="J80" s="1117">
        <v>0</v>
      </c>
      <c r="K80" s="1118">
        <v>0</v>
      </c>
      <c r="L80" s="1071">
        <f t="shared" si="58"/>
        <v>213</v>
      </c>
      <c r="M80" s="133" t="s">
        <v>60</v>
      </c>
      <c r="N80" s="73">
        <f t="shared" ref="N80" si="61">L80/G80*100</f>
        <v>284</v>
      </c>
    </row>
    <row r="81" spans="1:14" s="88" customFormat="1" ht="15" customHeight="1" x14ac:dyDescent="0.2">
      <c r="A81" s="1311"/>
      <c r="B81" s="1358"/>
      <c r="C81" s="669" t="s">
        <v>401</v>
      </c>
      <c r="D81" s="74">
        <v>17214</v>
      </c>
      <c r="E81" s="367">
        <v>17750.63</v>
      </c>
      <c r="F81" s="433">
        <v>19807</v>
      </c>
      <c r="G81" s="76">
        <v>19807</v>
      </c>
      <c r="H81" s="84">
        <v>14855.25</v>
      </c>
      <c r="I81" s="1004">
        <v>17056</v>
      </c>
      <c r="J81" s="1117">
        <v>1834</v>
      </c>
      <c r="K81" s="1118">
        <v>917</v>
      </c>
      <c r="L81" s="1071">
        <f>SUM(I81:K81)</f>
        <v>19807</v>
      </c>
      <c r="M81" s="133">
        <f>L81/F81*100</f>
        <v>100</v>
      </c>
      <c r="N81" s="73">
        <f>L81/G81*100</f>
        <v>100</v>
      </c>
    </row>
    <row r="82" spans="1:14" s="88" customFormat="1" ht="15" customHeight="1" x14ac:dyDescent="0.2">
      <c r="A82" s="1311"/>
      <c r="B82" s="1358"/>
      <c r="C82" s="816" t="s">
        <v>139</v>
      </c>
      <c r="D82" s="74">
        <v>0</v>
      </c>
      <c r="E82" s="367">
        <v>0</v>
      </c>
      <c r="F82" s="433">
        <v>44</v>
      </c>
      <c r="G82" s="76">
        <v>44</v>
      </c>
      <c r="H82" s="84">
        <v>29.33</v>
      </c>
      <c r="I82" s="1004">
        <v>0</v>
      </c>
      <c r="J82" s="1117">
        <v>44</v>
      </c>
      <c r="K82" s="1118">
        <v>0</v>
      </c>
      <c r="L82" s="1071">
        <f>SUM(I82:K82)</f>
        <v>44</v>
      </c>
      <c r="M82" s="133">
        <f t="shared" ref="M82:M83" si="62">L82/F82*100</f>
        <v>100</v>
      </c>
      <c r="N82" s="73">
        <f t="shared" ref="N82:N83" si="63">L82/G82*100</f>
        <v>100</v>
      </c>
    </row>
    <row r="83" spans="1:14" s="88" customFormat="1" ht="15" customHeight="1" x14ac:dyDescent="0.2">
      <c r="A83" s="1311"/>
      <c r="B83" s="1358"/>
      <c r="C83" s="669" t="s">
        <v>453</v>
      </c>
      <c r="D83" s="83" t="s">
        <v>60</v>
      </c>
      <c r="E83" s="82" t="s">
        <v>60</v>
      </c>
      <c r="F83" s="83">
        <v>1487</v>
      </c>
      <c r="G83" s="431">
        <v>1487</v>
      </c>
      <c r="H83" s="95">
        <v>1115.24</v>
      </c>
      <c r="I83" s="1004">
        <v>1487</v>
      </c>
      <c r="J83" s="1117">
        <v>0</v>
      </c>
      <c r="K83" s="1118">
        <v>0</v>
      </c>
      <c r="L83" s="1071">
        <f t="shared" ref="L83" si="64">SUM(I83:K83)</f>
        <v>1487</v>
      </c>
      <c r="M83" s="133">
        <f t="shared" si="62"/>
        <v>100</v>
      </c>
      <c r="N83" s="73">
        <f t="shared" si="63"/>
        <v>100</v>
      </c>
    </row>
    <row r="84" spans="1:14" s="487" customFormat="1" ht="20.100000000000001" customHeight="1" x14ac:dyDescent="0.2">
      <c r="A84" s="507">
        <v>3321</v>
      </c>
      <c r="B84" s="700" t="s">
        <v>208</v>
      </c>
      <c r="C84" s="822"/>
      <c r="D84" s="494">
        <v>5000</v>
      </c>
      <c r="E84" s="525">
        <v>5071.09</v>
      </c>
      <c r="F84" s="473">
        <v>5000</v>
      </c>
      <c r="G84" s="496">
        <v>5000</v>
      </c>
      <c r="H84" s="504">
        <v>0</v>
      </c>
      <c r="I84" s="1081">
        <v>0</v>
      </c>
      <c r="J84" s="1082">
        <v>0</v>
      </c>
      <c r="K84" s="1083">
        <v>5000</v>
      </c>
      <c r="L84" s="1065">
        <f t="shared" ref="L84:L86" si="65">SUM(I84:K84)</f>
        <v>5000</v>
      </c>
      <c r="M84" s="476">
        <f>L84/F84*100</f>
        <v>100</v>
      </c>
      <c r="N84" s="477">
        <f t="shared" ref="N84:N87" si="66">L84/G84*100</f>
        <v>100</v>
      </c>
    </row>
    <row r="85" spans="1:14" s="487" customFormat="1" ht="34.5" customHeight="1" x14ac:dyDescent="0.2">
      <c r="A85" s="848">
        <v>3322</v>
      </c>
      <c r="B85" s="1302" t="s">
        <v>218</v>
      </c>
      <c r="C85" s="1303"/>
      <c r="D85" s="471">
        <v>0</v>
      </c>
      <c r="E85" s="525">
        <v>852.98</v>
      </c>
      <c r="F85" s="473">
        <v>0</v>
      </c>
      <c r="G85" s="474">
        <v>0</v>
      </c>
      <c r="H85" s="508">
        <v>0</v>
      </c>
      <c r="I85" s="530">
        <v>0</v>
      </c>
      <c r="J85" s="905">
        <v>0</v>
      </c>
      <c r="K85" s="1087">
        <v>0</v>
      </c>
      <c r="L85" s="1065">
        <f>SUM(I85:K85)</f>
        <v>0</v>
      </c>
      <c r="M85" s="476" t="s">
        <v>60</v>
      </c>
      <c r="N85" s="477" t="s">
        <v>60</v>
      </c>
    </row>
    <row r="86" spans="1:14" s="487" customFormat="1" ht="20.100000000000001" customHeight="1" thickBot="1" x14ac:dyDescent="0.25">
      <c r="A86" s="849">
        <v>6221</v>
      </c>
      <c r="B86" s="1368" t="s">
        <v>438</v>
      </c>
      <c r="C86" s="1369"/>
      <c r="D86" s="572">
        <v>0</v>
      </c>
      <c r="E86" s="836">
        <v>52.52</v>
      </c>
      <c r="F86" s="585">
        <v>0</v>
      </c>
      <c r="G86" s="586">
        <v>0</v>
      </c>
      <c r="H86" s="587">
        <v>0</v>
      </c>
      <c r="I86" s="1078">
        <v>0</v>
      </c>
      <c r="J86" s="1079">
        <v>0</v>
      </c>
      <c r="K86" s="1133">
        <v>0</v>
      </c>
      <c r="L86" s="1134">
        <f t="shared" si="65"/>
        <v>0</v>
      </c>
      <c r="M86" s="468" t="s">
        <v>60</v>
      </c>
      <c r="N86" s="477" t="s">
        <v>60</v>
      </c>
    </row>
    <row r="87" spans="1:14" s="90" customFormat="1" ht="20.100000000000001" customHeight="1" thickBot="1" x14ac:dyDescent="0.25">
      <c r="A87" s="183"/>
      <c r="B87" s="184" t="s">
        <v>85</v>
      </c>
      <c r="C87" s="645"/>
      <c r="D87" s="183">
        <f>+SUM(D9:D18)+D24+D25+D28+D33+SUM(D39:D40)+SUM(D44:D47)+D52+SUM(D57:D57)+D76+SUM(D60:D63)+D79+SUM(D84:D86)</f>
        <v>452727</v>
      </c>
      <c r="E87" s="184">
        <f>+SUM(E9:E18)+E24+E25+E28+E33+SUM(E39:E40)+SUM(E44:E47)+E52+SUM(E57:E57)+E76+SUM(E60:E63)+E79+SUM(E84:E86)</f>
        <v>501646.75000000006</v>
      </c>
      <c r="F87" s="183">
        <f t="shared" ref="F87:H87" si="67">+SUM(F9:F18)+F24+F25+F28+F33+SUM(F39:F40)+SUM(F44:F47)+F52+SUM(F57:F57)+F76+SUM(F60:F63)+F79+SUM(F84:F86)</f>
        <v>536669</v>
      </c>
      <c r="G87" s="185">
        <f t="shared" si="67"/>
        <v>544305.14999999991</v>
      </c>
      <c r="H87" s="184">
        <f t="shared" si="67"/>
        <v>395733.74000000005</v>
      </c>
      <c r="I87" s="183">
        <f>+SUM(I9:I18)+I24+I25+I28+I33+SUM(I39:I40)+SUM(I44:I47)+I52+SUM(I57:I57)+I76+SUM(I60:I63)+I79+SUM(I84:I86)</f>
        <v>440821</v>
      </c>
      <c r="J87" s="982">
        <f>+SUM(J9:J18)+J24+J25+J28+J33+SUM(J39:J40)+SUM(J44:J47)+J52+SUM(J57:J57)+J76+SUM(J60:J63)+J79+SUM(J84:J86)</f>
        <v>70558</v>
      </c>
      <c r="K87" s="193">
        <f>+SUM(K9:K18)+K24+K25+K28+K33+SUM(K39:K40)+SUM(K44:K47)+K52+SUM(K57:K57)+K76+SUM(K60:K63)+K79+SUM(K84:K86)</f>
        <v>37197</v>
      </c>
      <c r="L87" s="1067">
        <f>+SUM(L9:L18)+L24+L25+L28+L33+SUM(L39:L40)+SUM(L44:L47)+L52+SUM(L57:L57)+L76+SUM(L60:L63)+L79+SUM(L84:L86)</f>
        <v>548576</v>
      </c>
      <c r="M87" s="643">
        <f t="shared" si="59"/>
        <v>102.21868600571302</v>
      </c>
      <c r="N87" s="644">
        <f t="shared" si="66"/>
        <v>100.78464258513816</v>
      </c>
    </row>
    <row r="88" spans="1:14" ht="15" customHeight="1" x14ac:dyDescent="0.2">
      <c r="A88" s="70"/>
      <c r="B88" s="70"/>
      <c r="C88" s="70"/>
      <c r="D88" s="166"/>
      <c r="E88" s="173"/>
      <c r="F88" s="166"/>
      <c r="G88" s="174"/>
      <c r="H88" s="174"/>
      <c r="I88" s="174"/>
      <c r="J88" s="174"/>
      <c r="K88" s="174"/>
      <c r="L88" s="695"/>
      <c r="M88" s="705"/>
      <c r="N88" s="124"/>
    </row>
    <row r="89" spans="1:14" x14ac:dyDescent="0.2">
      <c r="D89" s="148"/>
      <c r="F89" s="148"/>
      <c r="L89" s="148"/>
    </row>
  </sheetData>
  <mergeCells count="69">
    <mergeCell ref="B86:C86"/>
    <mergeCell ref="B79:C79"/>
    <mergeCell ref="B53:C53"/>
    <mergeCell ref="A25:C25"/>
    <mergeCell ref="B26:C26"/>
    <mergeCell ref="B27:C27"/>
    <mergeCell ref="B29:B32"/>
    <mergeCell ref="B69:C69"/>
    <mergeCell ref="B65:B66"/>
    <mergeCell ref="A67:A68"/>
    <mergeCell ref="B67:C67"/>
    <mergeCell ref="A69:A75"/>
    <mergeCell ref="B70:B75"/>
    <mergeCell ref="A64:A66"/>
    <mergeCell ref="A33:A38"/>
    <mergeCell ref="B64:C64"/>
    <mergeCell ref="B60:C60"/>
    <mergeCell ref="B45:C45"/>
    <mergeCell ref="B9:C9"/>
    <mergeCell ref="B12:C12"/>
    <mergeCell ref="B15:C15"/>
    <mergeCell ref="B16:C16"/>
    <mergeCell ref="B11:C11"/>
    <mergeCell ref="B10:C10"/>
    <mergeCell ref="B14:C14"/>
    <mergeCell ref="B13:C13"/>
    <mergeCell ref="B17:C17"/>
    <mergeCell ref="B18:C18"/>
    <mergeCell ref="B19:B23"/>
    <mergeCell ref="B33:C33"/>
    <mergeCell ref="A52:C52"/>
    <mergeCell ref="B54:C54"/>
    <mergeCell ref="A2:N2"/>
    <mergeCell ref="G4:H4"/>
    <mergeCell ref="N6:N7"/>
    <mergeCell ref="B6:C7"/>
    <mergeCell ref="M6:M7"/>
    <mergeCell ref="A6:A7"/>
    <mergeCell ref="D6:E6"/>
    <mergeCell ref="F6:H6"/>
    <mergeCell ref="I6:L6"/>
    <mergeCell ref="B55:C55"/>
    <mergeCell ref="A57:C57"/>
    <mergeCell ref="A28:A32"/>
    <mergeCell ref="B28:C28"/>
    <mergeCell ref="B42:C42"/>
    <mergeCell ref="A18:A23"/>
    <mergeCell ref="A47:A51"/>
    <mergeCell ref="B34:B38"/>
    <mergeCell ref="B41:C41"/>
    <mergeCell ref="B44:C44"/>
    <mergeCell ref="B39:C39"/>
    <mergeCell ref="B24:C24"/>
    <mergeCell ref="B85:C85"/>
    <mergeCell ref="A40:C40"/>
    <mergeCell ref="A63:C63"/>
    <mergeCell ref="B43:C43"/>
    <mergeCell ref="B48:B51"/>
    <mergeCell ref="A79:A83"/>
    <mergeCell ref="B80:B83"/>
    <mergeCell ref="B58:C58"/>
    <mergeCell ref="B59:C59"/>
    <mergeCell ref="B47:C47"/>
    <mergeCell ref="A76:C76"/>
    <mergeCell ref="B77:C77"/>
    <mergeCell ref="B78:C78"/>
    <mergeCell ref="B46:C46"/>
    <mergeCell ref="B62:C62"/>
    <mergeCell ref="B61:C61"/>
  </mergeCells>
  <printOptions horizontalCentered="1"/>
  <pageMargins left="0.59055118110236227" right="0.59055118110236227" top="0.78740157480314965" bottom="0.78740157480314965" header="0.59055118110236227" footer="0.59055118110236227"/>
  <pageSetup paperSize="9" scale="6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9"/>
  <sheetViews>
    <sheetView workbookViewId="0"/>
  </sheetViews>
  <sheetFormatPr defaultRowHeight="12.75" x14ac:dyDescent="0.2"/>
  <cols>
    <col min="1" max="1" width="7.7109375" style="67" customWidth="1"/>
    <col min="2" max="2" width="6.7109375" style="67" customWidth="1"/>
    <col min="3" max="3" width="40.7109375" style="72" customWidth="1"/>
    <col min="4" max="4" width="14.7109375" style="148" customWidth="1"/>
    <col min="5" max="5" width="14.7109375" style="72" customWidth="1"/>
    <col min="6" max="7" width="14.7109375" style="148" customWidth="1"/>
    <col min="8" max="8" width="14.7109375" style="72" customWidth="1"/>
    <col min="9" max="9" width="14.7109375" style="148" customWidth="1"/>
    <col min="10" max="10" width="15.5703125" style="148" customWidth="1"/>
    <col min="11" max="11" width="14.7109375" style="693" customWidth="1"/>
    <col min="12" max="12" width="14.7109375" style="891" customWidth="1"/>
    <col min="13" max="13" width="9.7109375" style="149" customWidth="1"/>
    <col min="14" max="14" width="9.7109375" style="67" customWidth="1"/>
    <col min="15" max="15" width="10" style="67" customWidth="1"/>
    <col min="16" max="16" width="9.85546875" style="67" bestFit="1" customWidth="1"/>
    <col min="17" max="256" width="9.140625" style="67"/>
    <col min="257" max="257" width="6.7109375" style="67" customWidth="1"/>
    <col min="258" max="258" width="41.5703125" style="67" customWidth="1"/>
    <col min="259" max="259" width="14.7109375" style="67" customWidth="1"/>
    <col min="260" max="260" width="18.85546875" style="67" customWidth="1"/>
    <col min="261" max="266" width="14.7109375" style="67" customWidth="1"/>
    <col min="267" max="267" width="16.7109375" style="67" customWidth="1"/>
    <col min="268" max="268" width="10" style="67" customWidth="1"/>
    <col min="269" max="269" width="7.42578125" style="67" customWidth="1"/>
    <col min="270" max="512" width="9.140625" style="67"/>
    <col min="513" max="513" width="6.7109375" style="67" customWidth="1"/>
    <col min="514" max="514" width="41.5703125" style="67" customWidth="1"/>
    <col min="515" max="515" width="14.7109375" style="67" customWidth="1"/>
    <col min="516" max="516" width="18.85546875" style="67" customWidth="1"/>
    <col min="517" max="522" width="14.7109375" style="67" customWidth="1"/>
    <col min="523" max="523" width="16.7109375" style="67" customWidth="1"/>
    <col min="524" max="524" width="10" style="67" customWidth="1"/>
    <col min="525" max="525" width="7.42578125" style="67" customWidth="1"/>
    <col min="526" max="768" width="9.140625" style="67"/>
    <col min="769" max="769" width="6.7109375" style="67" customWidth="1"/>
    <col min="770" max="770" width="41.5703125" style="67" customWidth="1"/>
    <col min="771" max="771" width="14.7109375" style="67" customWidth="1"/>
    <col min="772" max="772" width="18.85546875" style="67" customWidth="1"/>
    <col min="773" max="778" width="14.7109375" style="67" customWidth="1"/>
    <col min="779" max="779" width="16.7109375" style="67" customWidth="1"/>
    <col min="780" max="780" width="10" style="67" customWidth="1"/>
    <col min="781" max="781" width="7.42578125" style="67" customWidth="1"/>
    <col min="782" max="1024" width="9.140625" style="67"/>
    <col min="1025" max="1025" width="6.7109375" style="67" customWidth="1"/>
    <col min="1026" max="1026" width="41.5703125" style="67" customWidth="1"/>
    <col min="1027" max="1027" width="14.7109375" style="67" customWidth="1"/>
    <col min="1028" max="1028" width="18.85546875" style="67" customWidth="1"/>
    <col min="1029" max="1034" width="14.7109375" style="67" customWidth="1"/>
    <col min="1035" max="1035" width="16.7109375" style="67" customWidth="1"/>
    <col min="1036" max="1036" width="10" style="67" customWidth="1"/>
    <col min="1037" max="1037" width="7.42578125" style="67" customWidth="1"/>
    <col min="1038" max="1280" width="9.140625" style="67"/>
    <col min="1281" max="1281" width="6.7109375" style="67" customWidth="1"/>
    <col min="1282" max="1282" width="41.5703125" style="67" customWidth="1"/>
    <col min="1283" max="1283" width="14.7109375" style="67" customWidth="1"/>
    <col min="1284" max="1284" width="18.85546875" style="67" customWidth="1"/>
    <col min="1285" max="1290" width="14.7109375" style="67" customWidth="1"/>
    <col min="1291" max="1291" width="16.7109375" style="67" customWidth="1"/>
    <col min="1292" max="1292" width="10" style="67" customWidth="1"/>
    <col min="1293" max="1293" width="7.42578125" style="67" customWidth="1"/>
    <col min="1294" max="1536" width="9.140625" style="67"/>
    <col min="1537" max="1537" width="6.7109375" style="67" customWidth="1"/>
    <col min="1538" max="1538" width="41.5703125" style="67" customWidth="1"/>
    <col min="1539" max="1539" width="14.7109375" style="67" customWidth="1"/>
    <col min="1540" max="1540" width="18.85546875" style="67" customWidth="1"/>
    <col min="1541" max="1546" width="14.7109375" style="67" customWidth="1"/>
    <col min="1547" max="1547" width="16.7109375" style="67" customWidth="1"/>
    <col min="1548" max="1548" width="10" style="67" customWidth="1"/>
    <col min="1549" max="1549" width="7.42578125" style="67" customWidth="1"/>
    <col min="1550" max="1792" width="9.140625" style="67"/>
    <col min="1793" max="1793" width="6.7109375" style="67" customWidth="1"/>
    <col min="1794" max="1794" width="41.5703125" style="67" customWidth="1"/>
    <col min="1795" max="1795" width="14.7109375" style="67" customWidth="1"/>
    <col min="1796" max="1796" width="18.85546875" style="67" customWidth="1"/>
    <col min="1797" max="1802" width="14.7109375" style="67" customWidth="1"/>
    <col min="1803" max="1803" width="16.7109375" style="67" customWidth="1"/>
    <col min="1804" max="1804" width="10" style="67" customWidth="1"/>
    <col min="1805" max="1805" width="7.42578125" style="67" customWidth="1"/>
    <col min="1806" max="2048" width="9.140625" style="67"/>
    <col min="2049" max="2049" width="6.7109375" style="67" customWidth="1"/>
    <col min="2050" max="2050" width="41.5703125" style="67" customWidth="1"/>
    <col min="2051" max="2051" width="14.7109375" style="67" customWidth="1"/>
    <col min="2052" max="2052" width="18.85546875" style="67" customWidth="1"/>
    <col min="2053" max="2058" width="14.7109375" style="67" customWidth="1"/>
    <col min="2059" max="2059" width="16.7109375" style="67" customWidth="1"/>
    <col min="2060" max="2060" width="10" style="67" customWidth="1"/>
    <col min="2061" max="2061" width="7.42578125" style="67" customWidth="1"/>
    <col min="2062" max="2304" width="9.140625" style="67"/>
    <col min="2305" max="2305" width="6.7109375" style="67" customWidth="1"/>
    <col min="2306" max="2306" width="41.5703125" style="67" customWidth="1"/>
    <col min="2307" max="2307" width="14.7109375" style="67" customWidth="1"/>
    <col min="2308" max="2308" width="18.85546875" style="67" customWidth="1"/>
    <col min="2309" max="2314" width="14.7109375" style="67" customWidth="1"/>
    <col min="2315" max="2315" width="16.7109375" style="67" customWidth="1"/>
    <col min="2316" max="2316" width="10" style="67" customWidth="1"/>
    <col min="2317" max="2317" width="7.42578125" style="67" customWidth="1"/>
    <col min="2318" max="2560" width="9.140625" style="67"/>
    <col min="2561" max="2561" width="6.7109375" style="67" customWidth="1"/>
    <col min="2562" max="2562" width="41.5703125" style="67" customWidth="1"/>
    <col min="2563" max="2563" width="14.7109375" style="67" customWidth="1"/>
    <col min="2564" max="2564" width="18.85546875" style="67" customWidth="1"/>
    <col min="2565" max="2570" width="14.7109375" style="67" customWidth="1"/>
    <col min="2571" max="2571" width="16.7109375" style="67" customWidth="1"/>
    <col min="2572" max="2572" width="10" style="67" customWidth="1"/>
    <col min="2573" max="2573" width="7.42578125" style="67" customWidth="1"/>
    <col min="2574" max="2816" width="9.140625" style="67"/>
    <col min="2817" max="2817" width="6.7109375" style="67" customWidth="1"/>
    <col min="2818" max="2818" width="41.5703125" style="67" customWidth="1"/>
    <col min="2819" max="2819" width="14.7109375" style="67" customWidth="1"/>
    <col min="2820" max="2820" width="18.85546875" style="67" customWidth="1"/>
    <col min="2821" max="2826" width="14.7109375" style="67" customWidth="1"/>
    <col min="2827" max="2827" width="16.7109375" style="67" customWidth="1"/>
    <col min="2828" max="2828" width="10" style="67" customWidth="1"/>
    <col min="2829" max="2829" width="7.42578125" style="67" customWidth="1"/>
    <col min="2830" max="3072" width="9.140625" style="67"/>
    <col min="3073" max="3073" width="6.7109375" style="67" customWidth="1"/>
    <col min="3074" max="3074" width="41.5703125" style="67" customWidth="1"/>
    <col min="3075" max="3075" width="14.7109375" style="67" customWidth="1"/>
    <col min="3076" max="3076" width="18.85546875" style="67" customWidth="1"/>
    <col min="3077" max="3082" width="14.7109375" style="67" customWidth="1"/>
    <col min="3083" max="3083" width="16.7109375" style="67" customWidth="1"/>
    <col min="3084" max="3084" width="10" style="67" customWidth="1"/>
    <col min="3085" max="3085" width="7.42578125" style="67" customWidth="1"/>
    <col min="3086" max="3328" width="9.140625" style="67"/>
    <col min="3329" max="3329" width="6.7109375" style="67" customWidth="1"/>
    <col min="3330" max="3330" width="41.5703125" style="67" customWidth="1"/>
    <col min="3331" max="3331" width="14.7109375" style="67" customWidth="1"/>
    <col min="3332" max="3332" width="18.85546875" style="67" customWidth="1"/>
    <col min="3333" max="3338" width="14.7109375" style="67" customWidth="1"/>
    <col min="3339" max="3339" width="16.7109375" style="67" customWidth="1"/>
    <col min="3340" max="3340" width="10" style="67" customWidth="1"/>
    <col min="3341" max="3341" width="7.42578125" style="67" customWidth="1"/>
    <col min="3342" max="3584" width="9.140625" style="67"/>
    <col min="3585" max="3585" width="6.7109375" style="67" customWidth="1"/>
    <col min="3586" max="3586" width="41.5703125" style="67" customWidth="1"/>
    <col min="3587" max="3587" width="14.7109375" style="67" customWidth="1"/>
    <col min="3588" max="3588" width="18.85546875" style="67" customWidth="1"/>
    <col min="3589" max="3594" width="14.7109375" style="67" customWidth="1"/>
    <col min="3595" max="3595" width="16.7109375" style="67" customWidth="1"/>
    <col min="3596" max="3596" width="10" style="67" customWidth="1"/>
    <col min="3597" max="3597" width="7.42578125" style="67" customWidth="1"/>
    <col min="3598" max="3840" width="9.140625" style="67"/>
    <col min="3841" max="3841" width="6.7109375" style="67" customWidth="1"/>
    <col min="3842" max="3842" width="41.5703125" style="67" customWidth="1"/>
    <col min="3843" max="3843" width="14.7109375" style="67" customWidth="1"/>
    <col min="3844" max="3844" width="18.85546875" style="67" customWidth="1"/>
    <col min="3845" max="3850" width="14.7109375" style="67" customWidth="1"/>
    <col min="3851" max="3851" width="16.7109375" style="67" customWidth="1"/>
    <col min="3852" max="3852" width="10" style="67" customWidth="1"/>
    <col min="3853" max="3853" width="7.42578125" style="67" customWidth="1"/>
    <col min="3854" max="4096" width="9.140625" style="67"/>
    <col min="4097" max="4097" width="6.7109375" style="67" customWidth="1"/>
    <col min="4098" max="4098" width="41.5703125" style="67" customWidth="1"/>
    <col min="4099" max="4099" width="14.7109375" style="67" customWidth="1"/>
    <col min="4100" max="4100" width="18.85546875" style="67" customWidth="1"/>
    <col min="4101" max="4106" width="14.7109375" style="67" customWidth="1"/>
    <col min="4107" max="4107" width="16.7109375" style="67" customWidth="1"/>
    <col min="4108" max="4108" width="10" style="67" customWidth="1"/>
    <col min="4109" max="4109" width="7.42578125" style="67" customWidth="1"/>
    <col min="4110" max="4352" width="9.140625" style="67"/>
    <col min="4353" max="4353" width="6.7109375" style="67" customWidth="1"/>
    <col min="4354" max="4354" width="41.5703125" style="67" customWidth="1"/>
    <col min="4355" max="4355" width="14.7109375" style="67" customWidth="1"/>
    <col min="4356" max="4356" width="18.85546875" style="67" customWidth="1"/>
    <col min="4357" max="4362" width="14.7109375" style="67" customWidth="1"/>
    <col min="4363" max="4363" width="16.7109375" style="67" customWidth="1"/>
    <col min="4364" max="4364" width="10" style="67" customWidth="1"/>
    <col min="4365" max="4365" width="7.42578125" style="67" customWidth="1"/>
    <col min="4366" max="4608" width="9.140625" style="67"/>
    <col min="4609" max="4609" width="6.7109375" style="67" customWidth="1"/>
    <col min="4610" max="4610" width="41.5703125" style="67" customWidth="1"/>
    <col min="4611" max="4611" width="14.7109375" style="67" customWidth="1"/>
    <col min="4612" max="4612" width="18.85546875" style="67" customWidth="1"/>
    <col min="4613" max="4618" width="14.7109375" style="67" customWidth="1"/>
    <col min="4619" max="4619" width="16.7109375" style="67" customWidth="1"/>
    <col min="4620" max="4620" width="10" style="67" customWidth="1"/>
    <col min="4621" max="4621" width="7.42578125" style="67" customWidth="1"/>
    <col min="4622" max="4864" width="9.140625" style="67"/>
    <col min="4865" max="4865" width="6.7109375" style="67" customWidth="1"/>
    <col min="4866" max="4866" width="41.5703125" style="67" customWidth="1"/>
    <col min="4867" max="4867" width="14.7109375" style="67" customWidth="1"/>
    <col min="4868" max="4868" width="18.85546875" style="67" customWidth="1"/>
    <col min="4869" max="4874" width="14.7109375" style="67" customWidth="1"/>
    <col min="4875" max="4875" width="16.7109375" style="67" customWidth="1"/>
    <col min="4876" max="4876" width="10" style="67" customWidth="1"/>
    <col min="4877" max="4877" width="7.42578125" style="67" customWidth="1"/>
    <col min="4878" max="5120" width="9.140625" style="67"/>
    <col min="5121" max="5121" width="6.7109375" style="67" customWidth="1"/>
    <col min="5122" max="5122" width="41.5703125" style="67" customWidth="1"/>
    <col min="5123" max="5123" width="14.7109375" style="67" customWidth="1"/>
    <col min="5124" max="5124" width="18.85546875" style="67" customWidth="1"/>
    <col min="5125" max="5130" width="14.7109375" style="67" customWidth="1"/>
    <col min="5131" max="5131" width="16.7109375" style="67" customWidth="1"/>
    <col min="5132" max="5132" width="10" style="67" customWidth="1"/>
    <col min="5133" max="5133" width="7.42578125" style="67" customWidth="1"/>
    <col min="5134" max="5376" width="9.140625" style="67"/>
    <col min="5377" max="5377" width="6.7109375" style="67" customWidth="1"/>
    <col min="5378" max="5378" width="41.5703125" style="67" customWidth="1"/>
    <col min="5379" max="5379" width="14.7109375" style="67" customWidth="1"/>
    <col min="5380" max="5380" width="18.85546875" style="67" customWidth="1"/>
    <col min="5381" max="5386" width="14.7109375" style="67" customWidth="1"/>
    <col min="5387" max="5387" width="16.7109375" style="67" customWidth="1"/>
    <col min="5388" max="5388" width="10" style="67" customWidth="1"/>
    <col min="5389" max="5389" width="7.42578125" style="67" customWidth="1"/>
    <col min="5390" max="5632" width="9.140625" style="67"/>
    <col min="5633" max="5633" width="6.7109375" style="67" customWidth="1"/>
    <col min="5634" max="5634" width="41.5703125" style="67" customWidth="1"/>
    <col min="5635" max="5635" width="14.7109375" style="67" customWidth="1"/>
    <col min="5636" max="5636" width="18.85546875" style="67" customWidth="1"/>
    <col min="5637" max="5642" width="14.7109375" style="67" customWidth="1"/>
    <col min="5643" max="5643" width="16.7109375" style="67" customWidth="1"/>
    <col min="5644" max="5644" width="10" style="67" customWidth="1"/>
    <col min="5645" max="5645" width="7.42578125" style="67" customWidth="1"/>
    <col min="5646" max="5888" width="9.140625" style="67"/>
    <col min="5889" max="5889" width="6.7109375" style="67" customWidth="1"/>
    <col min="5890" max="5890" width="41.5703125" style="67" customWidth="1"/>
    <col min="5891" max="5891" width="14.7109375" style="67" customWidth="1"/>
    <col min="5892" max="5892" width="18.85546875" style="67" customWidth="1"/>
    <col min="5893" max="5898" width="14.7109375" style="67" customWidth="1"/>
    <col min="5899" max="5899" width="16.7109375" style="67" customWidth="1"/>
    <col min="5900" max="5900" width="10" style="67" customWidth="1"/>
    <col min="5901" max="5901" width="7.42578125" style="67" customWidth="1"/>
    <col min="5902" max="6144" width="9.140625" style="67"/>
    <col min="6145" max="6145" width="6.7109375" style="67" customWidth="1"/>
    <col min="6146" max="6146" width="41.5703125" style="67" customWidth="1"/>
    <col min="6147" max="6147" width="14.7109375" style="67" customWidth="1"/>
    <col min="6148" max="6148" width="18.85546875" style="67" customWidth="1"/>
    <col min="6149" max="6154" width="14.7109375" style="67" customWidth="1"/>
    <col min="6155" max="6155" width="16.7109375" style="67" customWidth="1"/>
    <col min="6156" max="6156" width="10" style="67" customWidth="1"/>
    <col min="6157" max="6157" width="7.42578125" style="67" customWidth="1"/>
    <col min="6158" max="6400" width="9.140625" style="67"/>
    <col min="6401" max="6401" width="6.7109375" style="67" customWidth="1"/>
    <col min="6402" max="6402" width="41.5703125" style="67" customWidth="1"/>
    <col min="6403" max="6403" width="14.7109375" style="67" customWidth="1"/>
    <col min="6404" max="6404" width="18.85546875" style="67" customWidth="1"/>
    <col min="6405" max="6410" width="14.7109375" style="67" customWidth="1"/>
    <col min="6411" max="6411" width="16.7109375" style="67" customWidth="1"/>
    <col min="6412" max="6412" width="10" style="67" customWidth="1"/>
    <col min="6413" max="6413" width="7.42578125" style="67" customWidth="1"/>
    <col min="6414" max="6656" width="9.140625" style="67"/>
    <col min="6657" max="6657" width="6.7109375" style="67" customWidth="1"/>
    <col min="6658" max="6658" width="41.5703125" style="67" customWidth="1"/>
    <col min="6659" max="6659" width="14.7109375" style="67" customWidth="1"/>
    <col min="6660" max="6660" width="18.85546875" style="67" customWidth="1"/>
    <col min="6661" max="6666" width="14.7109375" style="67" customWidth="1"/>
    <col min="6667" max="6667" width="16.7109375" style="67" customWidth="1"/>
    <col min="6668" max="6668" width="10" style="67" customWidth="1"/>
    <col min="6669" max="6669" width="7.42578125" style="67" customWidth="1"/>
    <col min="6670" max="6912" width="9.140625" style="67"/>
    <col min="6913" max="6913" width="6.7109375" style="67" customWidth="1"/>
    <col min="6914" max="6914" width="41.5703125" style="67" customWidth="1"/>
    <col min="6915" max="6915" width="14.7109375" style="67" customWidth="1"/>
    <col min="6916" max="6916" width="18.85546875" style="67" customWidth="1"/>
    <col min="6917" max="6922" width="14.7109375" style="67" customWidth="1"/>
    <col min="6923" max="6923" width="16.7109375" style="67" customWidth="1"/>
    <col min="6924" max="6924" width="10" style="67" customWidth="1"/>
    <col min="6925" max="6925" width="7.42578125" style="67" customWidth="1"/>
    <col min="6926" max="7168" width="9.140625" style="67"/>
    <col min="7169" max="7169" width="6.7109375" style="67" customWidth="1"/>
    <col min="7170" max="7170" width="41.5703125" style="67" customWidth="1"/>
    <col min="7171" max="7171" width="14.7109375" style="67" customWidth="1"/>
    <col min="7172" max="7172" width="18.85546875" style="67" customWidth="1"/>
    <col min="7173" max="7178" width="14.7109375" style="67" customWidth="1"/>
    <col min="7179" max="7179" width="16.7109375" style="67" customWidth="1"/>
    <col min="7180" max="7180" width="10" style="67" customWidth="1"/>
    <col min="7181" max="7181" width="7.42578125" style="67" customWidth="1"/>
    <col min="7182" max="7424" width="9.140625" style="67"/>
    <col min="7425" max="7425" width="6.7109375" style="67" customWidth="1"/>
    <col min="7426" max="7426" width="41.5703125" style="67" customWidth="1"/>
    <col min="7427" max="7427" width="14.7109375" style="67" customWidth="1"/>
    <col min="7428" max="7428" width="18.85546875" style="67" customWidth="1"/>
    <col min="7429" max="7434" width="14.7109375" style="67" customWidth="1"/>
    <col min="7435" max="7435" width="16.7109375" style="67" customWidth="1"/>
    <col min="7436" max="7436" width="10" style="67" customWidth="1"/>
    <col min="7437" max="7437" width="7.42578125" style="67" customWidth="1"/>
    <col min="7438" max="7680" width="9.140625" style="67"/>
    <col min="7681" max="7681" width="6.7109375" style="67" customWidth="1"/>
    <col min="7682" max="7682" width="41.5703125" style="67" customWidth="1"/>
    <col min="7683" max="7683" width="14.7109375" style="67" customWidth="1"/>
    <col min="7684" max="7684" width="18.85546875" style="67" customWidth="1"/>
    <col min="7685" max="7690" width="14.7109375" style="67" customWidth="1"/>
    <col min="7691" max="7691" width="16.7109375" style="67" customWidth="1"/>
    <col min="7692" max="7692" width="10" style="67" customWidth="1"/>
    <col min="7693" max="7693" width="7.42578125" style="67" customWidth="1"/>
    <col min="7694" max="7936" width="9.140625" style="67"/>
    <col min="7937" max="7937" width="6.7109375" style="67" customWidth="1"/>
    <col min="7938" max="7938" width="41.5703125" style="67" customWidth="1"/>
    <col min="7939" max="7939" width="14.7109375" style="67" customWidth="1"/>
    <col min="7940" max="7940" width="18.85546875" style="67" customWidth="1"/>
    <col min="7941" max="7946" width="14.7109375" style="67" customWidth="1"/>
    <col min="7947" max="7947" width="16.7109375" style="67" customWidth="1"/>
    <col min="7948" max="7948" width="10" style="67" customWidth="1"/>
    <col min="7949" max="7949" width="7.42578125" style="67" customWidth="1"/>
    <col min="7950" max="8192" width="9.140625" style="67"/>
    <col min="8193" max="8193" width="6.7109375" style="67" customWidth="1"/>
    <col min="8194" max="8194" width="41.5703125" style="67" customWidth="1"/>
    <col min="8195" max="8195" width="14.7109375" style="67" customWidth="1"/>
    <col min="8196" max="8196" width="18.85546875" style="67" customWidth="1"/>
    <col min="8197" max="8202" width="14.7109375" style="67" customWidth="1"/>
    <col min="8203" max="8203" width="16.7109375" style="67" customWidth="1"/>
    <col min="8204" max="8204" width="10" style="67" customWidth="1"/>
    <col min="8205" max="8205" width="7.42578125" style="67" customWidth="1"/>
    <col min="8206" max="8448" width="9.140625" style="67"/>
    <col min="8449" max="8449" width="6.7109375" style="67" customWidth="1"/>
    <col min="8450" max="8450" width="41.5703125" style="67" customWidth="1"/>
    <col min="8451" max="8451" width="14.7109375" style="67" customWidth="1"/>
    <col min="8452" max="8452" width="18.85546875" style="67" customWidth="1"/>
    <col min="8453" max="8458" width="14.7109375" style="67" customWidth="1"/>
    <col min="8459" max="8459" width="16.7109375" style="67" customWidth="1"/>
    <col min="8460" max="8460" width="10" style="67" customWidth="1"/>
    <col min="8461" max="8461" width="7.42578125" style="67" customWidth="1"/>
    <col min="8462" max="8704" width="9.140625" style="67"/>
    <col min="8705" max="8705" width="6.7109375" style="67" customWidth="1"/>
    <col min="8706" max="8706" width="41.5703125" style="67" customWidth="1"/>
    <col min="8707" max="8707" width="14.7109375" style="67" customWidth="1"/>
    <col min="8708" max="8708" width="18.85546875" style="67" customWidth="1"/>
    <col min="8709" max="8714" width="14.7109375" style="67" customWidth="1"/>
    <col min="8715" max="8715" width="16.7109375" style="67" customWidth="1"/>
    <col min="8716" max="8716" width="10" style="67" customWidth="1"/>
    <col min="8717" max="8717" width="7.42578125" style="67" customWidth="1"/>
    <col min="8718" max="8960" width="9.140625" style="67"/>
    <col min="8961" max="8961" width="6.7109375" style="67" customWidth="1"/>
    <col min="8962" max="8962" width="41.5703125" style="67" customWidth="1"/>
    <col min="8963" max="8963" width="14.7109375" style="67" customWidth="1"/>
    <col min="8964" max="8964" width="18.85546875" style="67" customWidth="1"/>
    <col min="8965" max="8970" width="14.7109375" style="67" customWidth="1"/>
    <col min="8971" max="8971" width="16.7109375" style="67" customWidth="1"/>
    <col min="8972" max="8972" width="10" style="67" customWidth="1"/>
    <col min="8973" max="8973" width="7.42578125" style="67" customWidth="1"/>
    <col min="8974" max="9216" width="9.140625" style="67"/>
    <col min="9217" max="9217" width="6.7109375" style="67" customWidth="1"/>
    <col min="9218" max="9218" width="41.5703125" style="67" customWidth="1"/>
    <col min="9219" max="9219" width="14.7109375" style="67" customWidth="1"/>
    <col min="9220" max="9220" width="18.85546875" style="67" customWidth="1"/>
    <col min="9221" max="9226" width="14.7109375" style="67" customWidth="1"/>
    <col min="9227" max="9227" width="16.7109375" style="67" customWidth="1"/>
    <col min="9228" max="9228" width="10" style="67" customWidth="1"/>
    <col min="9229" max="9229" width="7.42578125" style="67" customWidth="1"/>
    <col min="9230" max="9472" width="9.140625" style="67"/>
    <col min="9473" max="9473" width="6.7109375" style="67" customWidth="1"/>
    <col min="9474" max="9474" width="41.5703125" style="67" customWidth="1"/>
    <col min="9475" max="9475" width="14.7109375" style="67" customWidth="1"/>
    <col min="9476" max="9476" width="18.85546875" style="67" customWidth="1"/>
    <col min="9477" max="9482" width="14.7109375" style="67" customWidth="1"/>
    <col min="9483" max="9483" width="16.7109375" style="67" customWidth="1"/>
    <col min="9484" max="9484" width="10" style="67" customWidth="1"/>
    <col min="9485" max="9485" width="7.42578125" style="67" customWidth="1"/>
    <col min="9486" max="9728" width="9.140625" style="67"/>
    <col min="9729" max="9729" width="6.7109375" style="67" customWidth="1"/>
    <col min="9730" max="9730" width="41.5703125" style="67" customWidth="1"/>
    <col min="9731" max="9731" width="14.7109375" style="67" customWidth="1"/>
    <col min="9732" max="9732" width="18.85546875" style="67" customWidth="1"/>
    <col min="9733" max="9738" width="14.7109375" style="67" customWidth="1"/>
    <col min="9739" max="9739" width="16.7109375" style="67" customWidth="1"/>
    <col min="9740" max="9740" width="10" style="67" customWidth="1"/>
    <col min="9741" max="9741" width="7.42578125" style="67" customWidth="1"/>
    <col min="9742" max="9984" width="9.140625" style="67"/>
    <col min="9985" max="9985" width="6.7109375" style="67" customWidth="1"/>
    <col min="9986" max="9986" width="41.5703125" style="67" customWidth="1"/>
    <col min="9987" max="9987" width="14.7109375" style="67" customWidth="1"/>
    <col min="9988" max="9988" width="18.85546875" style="67" customWidth="1"/>
    <col min="9989" max="9994" width="14.7109375" style="67" customWidth="1"/>
    <col min="9995" max="9995" width="16.7109375" style="67" customWidth="1"/>
    <col min="9996" max="9996" width="10" style="67" customWidth="1"/>
    <col min="9997" max="9997" width="7.42578125" style="67" customWidth="1"/>
    <col min="9998" max="10240" width="9.140625" style="67"/>
    <col min="10241" max="10241" width="6.7109375" style="67" customWidth="1"/>
    <col min="10242" max="10242" width="41.5703125" style="67" customWidth="1"/>
    <col min="10243" max="10243" width="14.7109375" style="67" customWidth="1"/>
    <col min="10244" max="10244" width="18.85546875" style="67" customWidth="1"/>
    <col min="10245" max="10250" width="14.7109375" style="67" customWidth="1"/>
    <col min="10251" max="10251" width="16.7109375" style="67" customWidth="1"/>
    <col min="10252" max="10252" width="10" style="67" customWidth="1"/>
    <col min="10253" max="10253" width="7.42578125" style="67" customWidth="1"/>
    <col min="10254" max="10496" width="9.140625" style="67"/>
    <col min="10497" max="10497" width="6.7109375" style="67" customWidth="1"/>
    <col min="10498" max="10498" width="41.5703125" style="67" customWidth="1"/>
    <col min="10499" max="10499" width="14.7109375" style="67" customWidth="1"/>
    <col min="10500" max="10500" width="18.85546875" style="67" customWidth="1"/>
    <col min="10501" max="10506" width="14.7109375" style="67" customWidth="1"/>
    <col min="10507" max="10507" width="16.7109375" style="67" customWidth="1"/>
    <col min="10508" max="10508" width="10" style="67" customWidth="1"/>
    <col min="10509" max="10509" width="7.42578125" style="67" customWidth="1"/>
    <col min="10510" max="10752" width="9.140625" style="67"/>
    <col min="10753" max="10753" width="6.7109375" style="67" customWidth="1"/>
    <col min="10754" max="10754" width="41.5703125" style="67" customWidth="1"/>
    <col min="10755" max="10755" width="14.7109375" style="67" customWidth="1"/>
    <col min="10756" max="10756" width="18.85546875" style="67" customWidth="1"/>
    <col min="10757" max="10762" width="14.7109375" style="67" customWidth="1"/>
    <col min="10763" max="10763" width="16.7109375" style="67" customWidth="1"/>
    <col min="10764" max="10764" width="10" style="67" customWidth="1"/>
    <col min="10765" max="10765" width="7.42578125" style="67" customWidth="1"/>
    <col min="10766" max="11008" width="9.140625" style="67"/>
    <col min="11009" max="11009" width="6.7109375" style="67" customWidth="1"/>
    <col min="11010" max="11010" width="41.5703125" style="67" customWidth="1"/>
    <col min="11011" max="11011" width="14.7109375" style="67" customWidth="1"/>
    <col min="11012" max="11012" width="18.85546875" style="67" customWidth="1"/>
    <col min="11013" max="11018" width="14.7109375" style="67" customWidth="1"/>
    <col min="11019" max="11019" width="16.7109375" style="67" customWidth="1"/>
    <col min="11020" max="11020" width="10" style="67" customWidth="1"/>
    <col min="11021" max="11021" width="7.42578125" style="67" customWidth="1"/>
    <col min="11022" max="11264" width="9.140625" style="67"/>
    <col min="11265" max="11265" width="6.7109375" style="67" customWidth="1"/>
    <col min="11266" max="11266" width="41.5703125" style="67" customWidth="1"/>
    <col min="11267" max="11267" width="14.7109375" style="67" customWidth="1"/>
    <col min="11268" max="11268" width="18.85546875" style="67" customWidth="1"/>
    <col min="11269" max="11274" width="14.7109375" style="67" customWidth="1"/>
    <col min="11275" max="11275" width="16.7109375" style="67" customWidth="1"/>
    <col min="11276" max="11276" width="10" style="67" customWidth="1"/>
    <col min="11277" max="11277" width="7.42578125" style="67" customWidth="1"/>
    <col min="11278" max="11520" width="9.140625" style="67"/>
    <col min="11521" max="11521" width="6.7109375" style="67" customWidth="1"/>
    <col min="11522" max="11522" width="41.5703125" style="67" customWidth="1"/>
    <col min="11523" max="11523" width="14.7109375" style="67" customWidth="1"/>
    <col min="11524" max="11524" width="18.85546875" style="67" customWidth="1"/>
    <col min="11525" max="11530" width="14.7109375" style="67" customWidth="1"/>
    <col min="11531" max="11531" width="16.7109375" style="67" customWidth="1"/>
    <col min="11532" max="11532" width="10" style="67" customWidth="1"/>
    <col min="11533" max="11533" width="7.42578125" style="67" customWidth="1"/>
    <col min="11534" max="11776" width="9.140625" style="67"/>
    <col min="11777" max="11777" width="6.7109375" style="67" customWidth="1"/>
    <col min="11778" max="11778" width="41.5703125" style="67" customWidth="1"/>
    <col min="11779" max="11779" width="14.7109375" style="67" customWidth="1"/>
    <col min="11780" max="11780" width="18.85546875" style="67" customWidth="1"/>
    <col min="11781" max="11786" width="14.7109375" style="67" customWidth="1"/>
    <col min="11787" max="11787" width="16.7109375" style="67" customWidth="1"/>
    <col min="11788" max="11788" width="10" style="67" customWidth="1"/>
    <col min="11789" max="11789" width="7.42578125" style="67" customWidth="1"/>
    <col min="11790" max="12032" width="9.140625" style="67"/>
    <col min="12033" max="12033" width="6.7109375" style="67" customWidth="1"/>
    <col min="12034" max="12034" width="41.5703125" style="67" customWidth="1"/>
    <col min="12035" max="12035" width="14.7109375" style="67" customWidth="1"/>
    <col min="12036" max="12036" width="18.85546875" style="67" customWidth="1"/>
    <col min="12037" max="12042" width="14.7109375" style="67" customWidth="1"/>
    <col min="12043" max="12043" width="16.7109375" style="67" customWidth="1"/>
    <col min="12044" max="12044" width="10" style="67" customWidth="1"/>
    <col min="12045" max="12045" width="7.42578125" style="67" customWidth="1"/>
    <col min="12046" max="12288" width="9.140625" style="67"/>
    <col min="12289" max="12289" width="6.7109375" style="67" customWidth="1"/>
    <col min="12290" max="12290" width="41.5703125" style="67" customWidth="1"/>
    <col min="12291" max="12291" width="14.7109375" style="67" customWidth="1"/>
    <col min="12292" max="12292" width="18.85546875" style="67" customWidth="1"/>
    <col min="12293" max="12298" width="14.7109375" style="67" customWidth="1"/>
    <col min="12299" max="12299" width="16.7109375" style="67" customWidth="1"/>
    <col min="12300" max="12300" width="10" style="67" customWidth="1"/>
    <col min="12301" max="12301" width="7.42578125" style="67" customWidth="1"/>
    <col min="12302" max="12544" width="9.140625" style="67"/>
    <col min="12545" max="12545" width="6.7109375" style="67" customWidth="1"/>
    <col min="12546" max="12546" width="41.5703125" style="67" customWidth="1"/>
    <col min="12547" max="12547" width="14.7109375" style="67" customWidth="1"/>
    <col min="12548" max="12548" width="18.85546875" style="67" customWidth="1"/>
    <col min="12549" max="12554" width="14.7109375" style="67" customWidth="1"/>
    <col min="12555" max="12555" width="16.7109375" style="67" customWidth="1"/>
    <col min="12556" max="12556" width="10" style="67" customWidth="1"/>
    <col min="12557" max="12557" width="7.42578125" style="67" customWidth="1"/>
    <col min="12558" max="12800" width="9.140625" style="67"/>
    <col min="12801" max="12801" width="6.7109375" style="67" customWidth="1"/>
    <col min="12802" max="12802" width="41.5703125" style="67" customWidth="1"/>
    <col min="12803" max="12803" width="14.7109375" style="67" customWidth="1"/>
    <col min="12804" max="12804" width="18.85546875" style="67" customWidth="1"/>
    <col min="12805" max="12810" width="14.7109375" style="67" customWidth="1"/>
    <col min="12811" max="12811" width="16.7109375" style="67" customWidth="1"/>
    <col min="12812" max="12812" width="10" style="67" customWidth="1"/>
    <col min="12813" max="12813" width="7.42578125" style="67" customWidth="1"/>
    <col min="12814" max="13056" width="9.140625" style="67"/>
    <col min="13057" max="13057" width="6.7109375" style="67" customWidth="1"/>
    <col min="13058" max="13058" width="41.5703125" style="67" customWidth="1"/>
    <col min="13059" max="13059" width="14.7109375" style="67" customWidth="1"/>
    <col min="13060" max="13060" width="18.85546875" style="67" customWidth="1"/>
    <col min="13061" max="13066" width="14.7109375" style="67" customWidth="1"/>
    <col min="13067" max="13067" width="16.7109375" style="67" customWidth="1"/>
    <col min="13068" max="13068" width="10" style="67" customWidth="1"/>
    <col min="13069" max="13069" width="7.42578125" style="67" customWidth="1"/>
    <col min="13070" max="13312" width="9.140625" style="67"/>
    <col min="13313" max="13313" width="6.7109375" style="67" customWidth="1"/>
    <col min="13314" max="13314" width="41.5703125" style="67" customWidth="1"/>
    <col min="13315" max="13315" width="14.7109375" style="67" customWidth="1"/>
    <col min="13316" max="13316" width="18.85546875" style="67" customWidth="1"/>
    <col min="13317" max="13322" width="14.7109375" style="67" customWidth="1"/>
    <col min="13323" max="13323" width="16.7109375" style="67" customWidth="1"/>
    <col min="13324" max="13324" width="10" style="67" customWidth="1"/>
    <col min="13325" max="13325" width="7.42578125" style="67" customWidth="1"/>
    <col min="13326" max="13568" width="9.140625" style="67"/>
    <col min="13569" max="13569" width="6.7109375" style="67" customWidth="1"/>
    <col min="13570" max="13570" width="41.5703125" style="67" customWidth="1"/>
    <col min="13571" max="13571" width="14.7109375" style="67" customWidth="1"/>
    <col min="13572" max="13572" width="18.85546875" style="67" customWidth="1"/>
    <col min="13573" max="13578" width="14.7109375" style="67" customWidth="1"/>
    <col min="13579" max="13579" width="16.7109375" style="67" customWidth="1"/>
    <col min="13580" max="13580" width="10" style="67" customWidth="1"/>
    <col min="13581" max="13581" width="7.42578125" style="67" customWidth="1"/>
    <col min="13582" max="13824" width="9.140625" style="67"/>
    <col min="13825" max="13825" width="6.7109375" style="67" customWidth="1"/>
    <col min="13826" max="13826" width="41.5703125" style="67" customWidth="1"/>
    <col min="13827" max="13827" width="14.7109375" style="67" customWidth="1"/>
    <col min="13828" max="13828" width="18.85546875" style="67" customWidth="1"/>
    <col min="13829" max="13834" width="14.7109375" style="67" customWidth="1"/>
    <col min="13835" max="13835" width="16.7109375" style="67" customWidth="1"/>
    <col min="13836" max="13836" width="10" style="67" customWidth="1"/>
    <col min="13837" max="13837" width="7.42578125" style="67" customWidth="1"/>
    <col min="13838" max="14080" width="9.140625" style="67"/>
    <col min="14081" max="14081" width="6.7109375" style="67" customWidth="1"/>
    <col min="14082" max="14082" width="41.5703125" style="67" customWidth="1"/>
    <col min="14083" max="14083" width="14.7109375" style="67" customWidth="1"/>
    <col min="14084" max="14084" width="18.85546875" style="67" customWidth="1"/>
    <col min="14085" max="14090" width="14.7109375" style="67" customWidth="1"/>
    <col min="14091" max="14091" width="16.7109375" style="67" customWidth="1"/>
    <col min="14092" max="14092" width="10" style="67" customWidth="1"/>
    <col min="14093" max="14093" width="7.42578125" style="67" customWidth="1"/>
    <col min="14094" max="14336" width="9.140625" style="67"/>
    <col min="14337" max="14337" width="6.7109375" style="67" customWidth="1"/>
    <col min="14338" max="14338" width="41.5703125" style="67" customWidth="1"/>
    <col min="14339" max="14339" width="14.7109375" style="67" customWidth="1"/>
    <col min="14340" max="14340" width="18.85546875" style="67" customWidth="1"/>
    <col min="14341" max="14346" width="14.7109375" style="67" customWidth="1"/>
    <col min="14347" max="14347" width="16.7109375" style="67" customWidth="1"/>
    <col min="14348" max="14348" width="10" style="67" customWidth="1"/>
    <col min="14349" max="14349" width="7.42578125" style="67" customWidth="1"/>
    <col min="14350" max="14592" width="9.140625" style="67"/>
    <col min="14593" max="14593" width="6.7109375" style="67" customWidth="1"/>
    <col min="14594" max="14594" width="41.5703125" style="67" customWidth="1"/>
    <col min="14595" max="14595" width="14.7109375" style="67" customWidth="1"/>
    <col min="14596" max="14596" width="18.85546875" style="67" customWidth="1"/>
    <col min="14597" max="14602" width="14.7109375" style="67" customWidth="1"/>
    <col min="14603" max="14603" width="16.7109375" style="67" customWidth="1"/>
    <col min="14604" max="14604" width="10" style="67" customWidth="1"/>
    <col min="14605" max="14605" width="7.42578125" style="67" customWidth="1"/>
    <col min="14606" max="14848" width="9.140625" style="67"/>
    <col min="14849" max="14849" width="6.7109375" style="67" customWidth="1"/>
    <col min="14850" max="14850" width="41.5703125" style="67" customWidth="1"/>
    <col min="14851" max="14851" width="14.7109375" style="67" customWidth="1"/>
    <col min="14852" max="14852" width="18.85546875" style="67" customWidth="1"/>
    <col min="14853" max="14858" width="14.7109375" style="67" customWidth="1"/>
    <col min="14859" max="14859" width="16.7109375" style="67" customWidth="1"/>
    <col min="14860" max="14860" width="10" style="67" customWidth="1"/>
    <col min="14861" max="14861" width="7.42578125" style="67" customWidth="1"/>
    <col min="14862" max="15104" width="9.140625" style="67"/>
    <col min="15105" max="15105" width="6.7109375" style="67" customWidth="1"/>
    <col min="15106" max="15106" width="41.5703125" style="67" customWidth="1"/>
    <col min="15107" max="15107" width="14.7109375" style="67" customWidth="1"/>
    <col min="15108" max="15108" width="18.85546875" style="67" customWidth="1"/>
    <col min="15109" max="15114" width="14.7109375" style="67" customWidth="1"/>
    <col min="15115" max="15115" width="16.7109375" style="67" customWidth="1"/>
    <col min="15116" max="15116" width="10" style="67" customWidth="1"/>
    <col min="15117" max="15117" width="7.42578125" style="67" customWidth="1"/>
    <col min="15118" max="15360" width="9.140625" style="67"/>
    <col min="15361" max="15361" width="6.7109375" style="67" customWidth="1"/>
    <col min="15362" max="15362" width="41.5703125" style="67" customWidth="1"/>
    <col min="15363" max="15363" width="14.7109375" style="67" customWidth="1"/>
    <col min="15364" max="15364" width="18.85546875" style="67" customWidth="1"/>
    <col min="15365" max="15370" width="14.7109375" style="67" customWidth="1"/>
    <col min="15371" max="15371" width="16.7109375" style="67" customWidth="1"/>
    <col min="15372" max="15372" width="10" style="67" customWidth="1"/>
    <col min="15373" max="15373" width="7.42578125" style="67" customWidth="1"/>
    <col min="15374" max="15616" width="9.140625" style="67"/>
    <col min="15617" max="15617" width="6.7109375" style="67" customWidth="1"/>
    <col min="15618" max="15618" width="41.5703125" style="67" customWidth="1"/>
    <col min="15619" max="15619" width="14.7109375" style="67" customWidth="1"/>
    <col min="15620" max="15620" width="18.85546875" style="67" customWidth="1"/>
    <col min="15621" max="15626" width="14.7109375" style="67" customWidth="1"/>
    <col min="15627" max="15627" width="16.7109375" style="67" customWidth="1"/>
    <col min="15628" max="15628" width="10" style="67" customWidth="1"/>
    <col min="15629" max="15629" width="7.42578125" style="67" customWidth="1"/>
    <col min="15630" max="15872" width="9.140625" style="67"/>
    <col min="15873" max="15873" width="6.7109375" style="67" customWidth="1"/>
    <col min="15874" max="15874" width="41.5703125" style="67" customWidth="1"/>
    <col min="15875" max="15875" width="14.7109375" style="67" customWidth="1"/>
    <col min="15876" max="15876" width="18.85546875" style="67" customWidth="1"/>
    <col min="15877" max="15882" width="14.7109375" style="67" customWidth="1"/>
    <col min="15883" max="15883" width="16.7109375" style="67" customWidth="1"/>
    <col min="15884" max="15884" width="10" style="67" customWidth="1"/>
    <col min="15885" max="15885" width="7.42578125" style="67" customWidth="1"/>
    <col min="15886" max="16128" width="9.140625" style="67"/>
    <col min="16129" max="16129" width="6.7109375" style="67" customWidth="1"/>
    <col min="16130" max="16130" width="41.5703125" style="67" customWidth="1"/>
    <col min="16131" max="16131" width="14.7109375" style="67" customWidth="1"/>
    <col min="16132" max="16132" width="18.85546875" style="67" customWidth="1"/>
    <col min="16133" max="16138" width="14.7109375" style="67" customWidth="1"/>
    <col min="16139" max="16139" width="16.7109375" style="67" customWidth="1"/>
    <col min="16140" max="16140" width="10" style="67" customWidth="1"/>
    <col min="16141" max="16141" width="7.42578125" style="67" customWidth="1"/>
    <col min="16142" max="16384" width="9.140625" style="67"/>
  </cols>
  <sheetData>
    <row r="1" spans="1:16" ht="15" customHeight="1" x14ac:dyDescent="0.2">
      <c r="M1" s="150"/>
    </row>
    <row r="2" spans="1:16" ht="20.100000000000001" customHeight="1" x14ac:dyDescent="0.35">
      <c r="A2" s="1284" t="s">
        <v>570</v>
      </c>
      <c r="B2" s="1206"/>
      <c r="C2" s="1206"/>
      <c r="D2" s="1206"/>
      <c r="E2" s="1206"/>
      <c r="F2" s="1206"/>
      <c r="G2" s="1206"/>
      <c r="H2" s="1206"/>
      <c r="I2" s="1206"/>
      <c r="J2" s="1206"/>
      <c r="K2" s="1206"/>
      <c r="L2" s="1206"/>
      <c r="M2" s="1206"/>
      <c r="N2" s="1285"/>
    </row>
    <row r="3" spans="1:16" ht="15" customHeight="1" x14ac:dyDescent="0.2"/>
    <row r="4" spans="1:16" ht="20.100000000000001" customHeight="1" x14ac:dyDescent="0.2">
      <c r="A4" s="68" t="s">
        <v>223</v>
      </c>
      <c r="L4" s="897"/>
    </row>
    <row r="5" spans="1:16" ht="15" customHeight="1" thickBot="1" x14ac:dyDescent="0.25">
      <c r="A5" s="68"/>
      <c r="M5" s="67"/>
      <c r="N5" s="151" t="s">
        <v>0</v>
      </c>
    </row>
    <row r="6" spans="1:16" s="152" customFormat="1" ht="17.25" customHeight="1" x14ac:dyDescent="0.2">
      <c r="A6" s="1286" t="s">
        <v>88</v>
      </c>
      <c r="B6" s="1298" t="s">
        <v>103</v>
      </c>
      <c r="C6" s="1299"/>
      <c r="D6" s="1288" t="s">
        <v>283</v>
      </c>
      <c r="E6" s="1289"/>
      <c r="F6" s="1288" t="s">
        <v>390</v>
      </c>
      <c r="G6" s="1290"/>
      <c r="H6" s="1289"/>
      <c r="I6" s="1291" t="s">
        <v>484</v>
      </c>
      <c r="J6" s="1292"/>
      <c r="K6" s="1292"/>
      <c r="L6" s="1293"/>
      <c r="M6" s="1294" t="s">
        <v>485</v>
      </c>
      <c r="N6" s="1296" t="s">
        <v>489</v>
      </c>
    </row>
    <row r="7" spans="1:16" s="152" customFormat="1" ht="27" customHeight="1" thickBot="1" x14ac:dyDescent="0.25">
      <c r="A7" s="1287"/>
      <c r="B7" s="1300"/>
      <c r="C7" s="1301"/>
      <c r="D7" s="179" t="s">
        <v>108</v>
      </c>
      <c r="E7" s="180" t="s">
        <v>127</v>
      </c>
      <c r="F7" s="267" t="s">
        <v>109</v>
      </c>
      <c r="G7" s="268" t="s">
        <v>586</v>
      </c>
      <c r="H7" s="269" t="s">
        <v>587</v>
      </c>
      <c r="I7" s="892" t="s">
        <v>125</v>
      </c>
      <c r="J7" s="893" t="s">
        <v>126</v>
      </c>
      <c r="K7" s="894" t="s">
        <v>331</v>
      </c>
      <c r="L7" s="889" t="s">
        <v>85</v>
      </c>
      <c r="M7" s="1295"/>
      <c r="N7" s="1297"/>
    </row>
    <row r="8" spans="1:16" s="69" customFormat="1" ht="20.100000000000001" customHeight="1" thickBot="1" x14ac:dyDescent="0.25">
      <c r="B8" s="153" t="s">
        <v>104</v>
      </c>
      <c r="C8" s="154"/>
      <c r="D8" s="155"/>
      <c r="E8" s="154"/>
      <c r="F8" s="156"/>
      <c r="G8" s="156"/>
      <c r="H8" s="157"/>
      <c r="I8" s="156"/>
      <c r="J8" s="156"/>
      <c r="K8" s="890"/>
      <c r="L8" s="844"/>
      <c r="M8" s="158"/>
    </row>
    <row r="9" spans="1:16" s="487" customFormat="1" ht="20.100000000000001" customHeight="1" x14ac:dyDescent="0.2">
      <c r="A9" s="509">
        <v>3513</v>
      </c>
      <c r="B9" s="1304" t="s">
        <v>219</v>
      </c>
      <c r="C9" s="1305"/>
      <c r="D9" s="453">
        <v>45000</v>
      </c>
      <c r="E9" s="840">
        <v>42752.800000000003</v>
      </c>
      <c r="F9" s="453">
        <v>45000</v>
      </c>
      <c r="G9" s="488">
        <v>44692.36</v>
      </c>
      <c r="H9" s="516">
        <v>42758</v>
      </c>
      <c r="I9" s="453">
        <v>38250</v>
      </c>
      <c r="J9" s="540">
        <v>4500</v>
      </c>
      <c r="K9" s="1135">
        <v>2250</v>
      </c>
      <c r="L9" s="1136">
        <f t="shared" ref="L9:L13" si="0">SUM(I9:K9)</f>
        <v>45000</v>
      </c>
      <c r="M9" s="841">
        <f>L9/F9*100</f>
        <v>100</v>
      </c>
      <c r="N9" s="842">
        <f>L9/G9*100</f>
        <v>100.68835031311841</v>
      </c>
    </row>
    <row r="10" spans="1:16" s="487" customFormat="1" ht="45" customHeight="1" x14ac:dyDescent="0.2">
      <c r="A10" s="668">
        <v>3522</v>
      </c>
      <c r="B10" s="1374" t="s">
        <v>336</v>
      </c>
      <c r="C10" s="1375"/>
      <c r="D10" s="462">
        <v>1400</v>
      </c>
      <c r="E10" s="533">
        <v>1400</v>
      </c>
      <c r="F10" s="462">
        <v>0</v>
      </c>
      <c r="G10" s="465">
        <v>0</v>
      </c>
      <c r="H10" s="534">
        <v>0</v>
      </c>
      <c r="I10" s="462">
        <v>0</v>
      </c>
      <c r="J10" s="464">
        <v>0</v>
      </c>
      <c r="K10" s="1137">
        <v>0</v>
      </c>
      <c r="L10" s="1138">
        <f t="shared" si="0"/>
        <v>0</v>
      </c>
      <c r="M10" s="721" t="s">
        <v>60</v>
      </c>
      <c r="N10" s="720" t="s">
        <v>60</v>
      </c>
    </row>
    <row r="11" spans="1:16" s="487" customFormat="1" ht="20.100000000000001" customHeight="1" x14ac:dyDescent="0.2">
      <c r="A11" s="668">
        <v>3525</v>
      </c>
      <c r="B11" s="1374" t="s">
        <v>515</v>
      </c>
      <c r="C11" s="1375"/>
      <c r="D11" s="462">
        <v>0</v>
      </c>
      <c r="E11" s="533">
        <v>0</v>
      </c>
      <c r="F11" s="462">
        <v>0</v>
      </c>
      <c r="G11" s="465">
        <v>1000</v>
      </c>
      <c r="H11" s="534">
        <v>1000</v>
      </c>
      <c r="I11" s="462">
        <v>0</v>
      </c>
      <c r="J11" s="464">
        <v>0</v>
      </c>
      <c r="K11" s="1137">
        <v>0</v>
      </c>
      <c r="L11" s="1138">
        <f>SUM(I11:K11)</f>
        <v>0</v>
      </c>
      <c r="M11" s="721" t="s">
        <v>60</v>
      </c>
      <c r="N11" s="720">
        <f>L11/G11*100</f>
        <v>0</v>
      </c>
    </row>
    <row r="12" spans="1:16" s="487" customFormat="1" ht="30" customHeight="1" x14ac:dyDescent="0.2">
      <c r="A12" s="1310">
        <v>3529</v>
      </c>
      <c r="B12" s="1302" t="s">
        <v>231</v>
      </c>
      <c r="C12" s="1303"/>
      <c r="D12" s="530">
        <f t="shared" ref="D12:K12" si="1">SUM(D13:D16)</f>
        <v>158647</v>
      </c>
      <c r="E12" s="472">
        <f t="shared" si="1"/>
        <v>158241.1</v>
      </c>
      <c r="F12" s="530">
        <f t="shared" si="1"/>
        <v>166107</v>
      </c>
      <c r="G12" s="536">
        <f t="shared" si="1"/>
        <v>166107</v>
      </c>
      <c r="H12" s="474">
        <f t="shared" si="1"/>
        <v>124579.89000000001</v>
      </c>
      <c r="I12" s="530">
        <f t="shared" si="1"/>
        <v>135724</v>
      </c>
      <c r="J12" s="905">
        <f t="shared" si="1"/>
        <v>15967</v>
      </c>
      <c r="K12" s="905">
        <f t="shared" si="1"/>
        <v>7984</v>
      </c>
      <c r="L12" s="1065">
        <f t="shared" si="0"/>
        <v>159675</v>
      </c>
      <c r="M12" s="535">
        <f t="shared" ref="M12:M17" si="2">L12/F12*100</f>
        <v>96.127797142805534</v>
      </c>
      <c r="N12" s="477">
        <f t="shared" ref="N12:N17" si="3">L12/G12*100</f>
        <v>96.127797142805534</v>
      </c>
    </row>
    <row r="13" spans="1:16" ht="15" customHeight="1" x14ac:dyDescent="0.2">
      <c r="A13" s="1311"/>
      <c r="B13" s="1357" t="s">
        <v>96</v>
      </c>
      <c r="C13" s="669" t="s">
        <v>138</v>
      </c>
      <c r="D13" s="83">
        <v>14824</v>
      </c>
      <c r="E13" s="93">
        <v>15109</v>
      </c>
      <c r="F13" s="83">
        <v>11852</v>
      </c>
      <c r="G13" s="431">
        <v>11852</v>
      </c>
      <c r="H13" s="95">
        <v>8888.85</v>
      </c>
      <c r="I13" s="1113">
        <v>5133</v>
      </c>
      <c r="J13" s="1098">
        <v>604</v>
      </c>
      <c r="K13" s="1099">
        <v>301</v>
      </c>
      <c r="L13" s="1071">
        <f t="shared" si="0"/>
        <v>6038</v>
      </c>
      <c r="M13" s="131">
        <f t="shared" si="2"/>
        <v>50.944988187647652</v>
      </c>
      <c r="N13" s="79">
        <f t="shared" si="3"/>
        <v>50.944988187647652</v>
      </c>
      <c r="P13" s="148"/>
    </row>
    <row r="14" spans="1:16" ht="15" customHeight="1" x14ac:dyDescent="0.2">
      <c r="A14" s="1311"/>
      <c r="B14" s="1358"/>
      <c r="C14" s="669" t="s">
        <v>401</v>
      </c>
      <c r="D14" s="83">
        <v>137900</v>
      </c>
      <c r="E14" s="93">
        <v>136071.6</v>
      </c>
      <c r="F14" s="83">
        <v>144245</v>
      </c>
      <c r="G14" s="431">
        <v>144245</v>
      </c>
      <c r="H14" s="95">
        <v>108183.69</v>
      </c>
      <c r="I14" s="1113">
        <v>122808</v>
      </c>
      <c r="J14" s="1098">
        <v>14448</v>
      </c>
      <c r="K14" s="1099">
        <v>7225</v>
      </c>
      <c r="L14" s="1071">
        <f>SUM(I14:K14)</f>
        <v>144481</v>
      </c>
      <c r="M14" s="131">
        <f>L14/F14*100</f>
        <v>100.16361052376166</v>
      </c>
      <c r="N14" s="79">
        <f>L14/G14*100</f>
        <v>100.16361052376166</v>
      </c>
      <c r="P14" s="148"/>
    </row>
    <row r="15" spans="1:16" ht="15" customHeight="1" x14ac:dyDescent="0.2">
      <c r="A15" s="1311"/>
      <c r="B15" s="1358"/>
      <c r="C15" s="669" t="s">
        <v>139</v>
      </c>
      <c r="D15" s="83">
        <v>5923</v>
      </c>
      <c r="E15" s="93">
        <v>7060.5</v>
      </c>
      <c r="F15" s="83">
        <v>4370</v>
      </c>
      <c r="G15" s="431">
        <v>4370</v>
      </c>
      <c r="H15" s="95">
        <v>3277.44</v>
      </c>
      <c r="I15" s="1113">
        <v>2491</v>
      </c>
      <c r="J15" s="1098">
        <v>293</v>
      </c>
      <c r="K15" s="1099">
        <v>147</v>
      </c>
      <c r="L15" s="1071">
        <f>SUM(I15:K15)</f>
        <v>2931</v>
      </c>
      <c r="M15" s="131">
        <f>L15/F15*100</f>
        <v>67.07093821510297</v>
      </c>
      <c r="N15" s="79">
        <f>L15/G15*100</f>
        <v>67.07093821510297</v>
      </c>
      <c r="P15" s="148"/>
    </row>
    <row r="16" spans="1:16" ht="15" customHeight="1" x14ac:dyDescent="0.2">
      <c r="A16" s="1311"/>
      <c r="B16" s="1358"/>
      <c r="C16" s="669" t="s">
        <v>453</v>
      </c>
      <c r="D16" s="83" t="s">
        <v>60</v>
      </c>
      <c r="E16" s="82" t="s">
        <v>60</v>
      </c>
      <c r="F16" s="83">
        <v>5640</v>
      </c>
      <c r="G16" s="431">
        <v>5640</v>
      </c>
      <c r="H16" s="95">
        <v>4229.91</v>
      </c>
      <c r="I16" s="1139">
        <v>5292</v>
      </c>
      <c r="J16" s="1140">
        <v>622</v>
      </c>
      <c r="K16" s="1141">
        <v>311</v>
      </c>
      <c r="L16" s="1071">
        <f t="shared" ref="L16" si="4">SUM(I16:K16)</f>
        <v>6225</v>
      </c>
      <c r="M16" s="131">
        <f>L16/F16*100</f>
        <v>110.37234042553192</v>
      </c>
      <c r="N16" s="79">
        <f>L16/G16*100</f>
        <v>110.37234042553192</v>
      </c>
      <c r="P16" s="148"/>
    </row>
    <row r="17" spans="1:16" s="487" customFormat="1" ht="30" customHeight="1" x14ac:dyDescent="0.2">
      <c r="A17" s="1310">
        <v>3533</v>
      </c>
      <c r="B17" s="1302" t="s">
        <v>220</v>
      </c>
      <c r="C17" s="1303"/>
      <c r="D17" s="530">
        <f>SUM(D18:D21)</f>
        <v>617250</v>
      </c>
      <c r="E17" s="490">
        <f t="shared" ref="E17:K17" si="5">SUM(E18:E21)</f>
        <v>621910.37</v>
      </c>
      <c r="F17" s="530">
        <f t="shared" si="5"/>
        <v>682218</v>
      </c>
      <c r="G17" s="536">
        <f t="shared" si="5"/>
        <v>622218</v>
      </c>
      <c r="H17" s="536">
        <f t="shared" si="5"/>
        <v>481663.41</v>
      </c>
      <c r="I17" s="530">
        <f t="shared" si="5"/>
        <v>486387</v>
      </c>
      <c r="J17" s="905">
        <f t="shared" si="5"/>
        <v>57221</v>
      </c>
      <c r="K17" s="1142">
        <f t="shared" si="5"/>
        <v>28610</v>
      </c>
      <c r="L17" s="1065">
        <f>SUM(I17:K17)</f>
        <v>572218</v>
      </c>
      <c r="M17" s="535">
        <f t="shared" si="2"/>
        <v>83.876121708896562</v>
      </c>
      <c r="N17" s="538">
        <f t="shared" si="3"/>
        <v>91.964231185854473</v>
      </c>
      <c r="P17" s="693"/>
    </row>
    <row r="18" spans="1:16" ht="15" customHeight="1" x14ac:dyDescent="0.2">
      <c r="A18" s="1311"/>
      <c r="B18" s="1357" t="s">
        <v>96</v>
      </c>
      <c r="C18" s="669" t="s">
        <v>138</v>
      </c>
      <c r="D18" s="83">
        <v>42250</v>
      </c>
      <c r="E18" s="93">
        <v>45527.97</v>
      </c>
      <c r="F18" s="83">
        <v>12198</v>
      </c>
      <c r="G18" s="954">
        <v>12198</v>
      </c>
      <c r="H18" s="75">
        <v>9148.5</v>
      </c>
      <c r="I18" s="1004">
        <v>0</v>
      </c>
      <c r="J18" s="1117">
        <v>0</v>
      </c>
      <c r="K18" s="1118">
        <v>0</v>
      </c>
      <c r="L18" s="1071">
        <f>SUM(I18:K18)</f>
        <v>0</v>
      </c>
      <c r="M18" s="131">
        <f t="shared" ref="M18:M27" si="6">L18/F18*100</f>
        <v>0</v>
      </c>
      <c r="N18" s="79">
        <f t="shared" ref="N18:N27" si="7">L18/G18*100</f>
        <v>0</v>
      </c>
      <c r="P18" s="148"/>
    </row>
    <row r="19" spans="1:16" ht="15" customHeight="1" x14ac:dyDescent="0.2">
      <c r="A19" s="1311"/>
      <c r="B19" s="1358"/>
      <c r="C19" s="669" t="s">
        <v>401</v>
      </c>
      <c r="D19" s="83">
        <v>575000</v>
      </c>
      <c r="E19" s="93">
        <v>576382.4</v>
      </c>
      <c r="F19" s="83">
        <v>660106</v>
      </c>
      <c r="G19" s="954">
        <v>600106</v>
      </c>
      <c r="H19" s="75">
        <v>465079.47</v>
      </c>
      <c r="I19" s="1004">
        <v>477959</v>
      </c>
      <c r="J19" s="1117">
        <v>56230</v>
      </c>
      <c r="K19" s="1118">
        <v>28115</v>
      </c>
      <c r="L19" s="1071">
        <f>SUM(I19:K19)</f>
        <v>562304</v>
      </c>
      <c r="M19" s="131">
        <f>L19/F19*100</f>
        <v>85.183894707819647</v>
      </c>
      <c r="N19" s="79">
        <f>L19/G19*100</f>
        <v>93.70077952894988</v>
      </c>
      <c r="P19" s="148"/>
    </row>
    <row r="20" spans="1:16" ht="15" customHeight="1" x14ac:dyDescent="0.2">
      <c r="A20" s="1311"/>
      <c r="B20" s="1358"/>
      <c r="C20" s="669" t="s">
        <v>139</v>
      </c>
      <c r="D20" s="83">
        <v>0</v>
      </c>
      <c r="E20" s="75">
        <v>0</v>
      </c>
      <c r="F20" s="83">
        <v>0</v>
      </c>
      <c r="G20" s="954">
        <v>0</v>
      </c>
      <c r="H20" s="75">
        <v>0</v>
      </c>
      <c r="I20" s="1004">
        <v>0</v>
      </c>
      <c r="J20" s="1117">
        <v>0</v>
      </c>
      <c r="K20" s="1118">
        <v>0</v>
      </c>
      <c r="L20" s="1071">
        <f>SUM(I20:K20)</f>
        <v>0</v>
      </c>
      <c r="M20" s="131" t="s">
        <v>60</v>
      </c>
      <c r="N20" s="79" t="s">
        <v>60</v>
      </c>
      <c r="P20" s="148"/>
    </row>
    <row r="21" spans="1:16" ht="15" customHeight="1" x14ac:dyDescent="0.2">
      <c r="A21" s="1315"/>
      <c r="B21" s="1373"/>
      <c r="C21" s="669" t="s">
        <v>453</v>
      </c>
      <c r="D21" s="83" t="s">
        <v>60</v>
      </c>
      <c r="E21" s="82" t="s">
        <v>60</v>
      </c>
      <c r="F21" s="83">
        <v>9914</v>
      </c>
      <c r="G21" s="954">
        <v>9914</v>
      </c>
      <c r="H21" s="75">
        <v>7435.44</v>
      </c>
      <c r="I21" s="1004">
        <v>8428</v>
      </c>
      <c r="J21" s="1117">
        <v>991</v>
      </c>
      <c r="K21" s="1118">
        <v>495</v>
      </c>
      <c r="L21" s="1071">
        <f>SUM(I21:K21)</f>
        <v>9914</v>
      </c>
      <c r="M21" s="131">
        <f t="shared" ref="M21" si="8">L21/F21*100</f>
        <v>100</v>
      </c>
      <c r="N21" s="79">
        <f t="shared" ref="N21" si="9">L21/G21*100</f>
        <v>100</v>
      </c>
      <c r="P21" s="148"/>
    </row>
    <row r="22" spans="1:16" ht="20.100000000000001" customHeight="1" x14ac:dyDescent="0.2">
      <c r="A22" s="1376" t="s">
        <v>490</v>
      </c>
      <c r="B22" s="1377"/>
      <c r="C22" s="1378"/>
      <c r="D22" s="530">
        <f>SUM(D23:D24)</f>
        <v>0</v>
      </c>
      <c r="E22" s="490">
        <f>SUM(E23:E24)</f>
        <v>307.08999999999997</v>
      </c>
      <c r="F22" s="530">
        <f t="shared" ref="F22:K22" si="10">SUM(F23:F24)</f>
        <v>0</v>
      </c>
      <c r="G22" s="528">
        <f t="shared" si="10"/>
        <v>0</v>
      </c>
      <c r="H22" s="497">
        <f t="shared" si="10"/>
        <v>0</v>
      </c>
      <c r="I22" s="1081">
        <f t="shared" si="10"/>
        <v>0</v>
      </c>
      <c r="J22" s="1082">
        <f t="shared" si="10"/>
        <v>0</v>
      </c>
      <c r="K22" s="1090">
        <f t="shared" si="10"/>
        <v>0</v>
      </c>
      <c r="L22" s="1065">
        <f t="shared" ref="L22:L24" si="11">SUM(I22:K22)</f>
        <v>0</v>
      </c>
      <c r="M22" s="535" t="s">
        <v>60</v>
      </c>
      <c r="N22" s="538" t="s">
        <v>60</v>
      </c>
      <c r="P22" s="148"/>
    </row>
    <row r="23" spans="1:16" ht="20.100000000000001" customHeight="1" x14ac:dyDescent="0.2">
      <c r="A23" s="603">
        <v>3533</v>
      </c>
      <c r="B23" s="1340" t="s">
        <v>509</v>
      </c>
      <c r="C23" s="1341"/>
      <c r="D23" s="83">
        <v>0</v>
      </c>
      <c r="E23" s="84">
        <v>233.48</v>
      </c>
      <c r="F23" s="83">
        <v>0</v>
      </c>
      <c r="G23" s="434">
        <v>0</v>
      </c>
      <c r="H23" s="132">
        <v>0</v>
      </c>
      <c r="I23" s="1004">
        <v>0</v>
      </c>
      <c r="J23" s="1117">
        <v>0</v>
      </c>
      <c r="K23" s="1126">
        <v>0</v>
      </c>
      <c r="L23" s="1071">
        <f t="shared" si="11"/>
        <v>0</v>
      </c>
      <c r="M23" s="131" t="s">
        <v>60</v>
      </c>
      <c r="N23" s="79" t="s">
        <v>60</v>
      </c>
      <c r="P23" s="148"/>
    </row>
    <row r="24" spans="1:16" ht="20.100000000000001" customHeight="1" x14ac:dyDescent="0.2">
      <c r="A24" s="871">
        <v>3599</v>
      </c>
      <c r="B24" s="1340" t="s">
        <v>289</v>
      </c>
      <c r="C24" s="1341"/>
      <c r="D24" s="83">
        <v>0</v>
      </c>
      <c r="E24" s="84">
        <v>73.61</v>
      </c>
      <c r="F24" s="83">
        <v>0</v>
      </c>
      <c r="G24" s="434">
        <v>0</v>
      </c>
      <c r="H24" s="132">
        <v>0</v>
      </c>
      <c r="I24" s="1004">
        <v>0</v>
      </c>
      <c r="J24" s="1117">
        <v>0</v>
      </c>
      <c r="K24" s="1126">
        <v>0</v>
      </c>
      <c r="L24" s="1071">
        <f t="shared" si="11"/>
        <v>0</v>
      </c>
      <c r="M24" s="131" t="s">
        <v>60</v>
      </c>
      <c r="N24" s="79" t="s">
        <v>60</v>
      </c>
      <c r="P24" s="148"/>
    </row>
    <row r="25" spans="1:16" s="487" customFormat="1" ht="20.100000000000001" customHeight="1" x14ac:dyDescent="0.2">
      <c r="A25" s="507">
        <v>3599</v>
      </c>
      <c r="B25" s="1302" t="s">
        <v>221</v>
      </c>
      <c r="C25" s="1303"/>
      <c r="D25" s="530">
        <v>6179</v>
      </c>
      <c r="E25" s="495">
        <v>5822.58</v>
      </c>
      <c r="F25" s="530">
        <v>5949</v>
      </c>
      <c r="G25" s="528">
        <v>7758.43</v>
      </c>
      <c r="H25" s="497">
        <v>4022.95</v>
      </c>
      <c r="I25" s="1081">
        <v>5142</v>
      </c>
      <c r="J25" s="1082">
        <v>605</v>
      </c>
      <c r="K25" s="1090">
        <v>302</v>
      </c>
      <c r="L25" s="1065">
        <f t="shared" ref="L25:L26" si="12">SUM(I25:K25)</f>
        <v>6049</v>
      </c>
      <c r="M25" s="535">
        <f t="shared" si="6"/>
        <v>101.68095478231636</v>
      </c>
      <c r="N25" s="477">
        <f t="shared" si="7"/>
        <v>77.966805139699659</v>
      </c>
    </row>
    <row r="26" spans="1:16" s="487" customFormat="1" ht="30" customHeight="1" thickBot="1" x14ac:dyDescent="0.25">
      <c r="A26" s="507">
        <v>3599</v>
      </c>
      <c r="B26" s="1302" t="s">
        <v>222</v>
      </c>
      <c r="C26" s="1303"/>
      <c r="D26" s="530">
        <v>31400</v>
      </c>
      <c r="E26" s="495">
        <v>31400</v>
      </c>
      <c r="F26" s="530">
        <v>30500</v>
      </c>
      <c r="G26" s="528">
        <v>30500.02</v>
      </c>
      <c r="H26" s="497">
        <v>15250</v>
      </c>
      <c r="I26" s="1081">
        <v>27905</v>
      </c>
      <c r="J26" s="1082">
        <v>3283</v>
      </c>
      <c r="K26" s="1090">
        <v>1642</v>
      </c>
      <c r="L26" s="1065">
        <f t="shared" si="12"/>
        <v>32830</v>
      </c>
      <c r="M26" s="535">
        <f t="shared" si="6"/>
        <v>107.63934426229508</v>
      </c>
      <c r="N26" s="477">
        <f t="shared" si="7"/>
        <v>107.63927367916479</v>
      </c>
    </row>
    <row r="27" spans="1:16" ht="20.100000000000001" customHeight="1" thickBot="1" x14ac:dyDescent="0.25">
      <c r="A27" s="188"/>
      <c r="B27" s="417" t="s">
        <v>85</v>
      </c>
      <c r="C27" s="677"/>
      <c r="D27" s="183">
        <f>SUM(D9:D12)+SUM(D17:D17)+SUM(D25:D26)</f>
        <v>859876</v>
      </c>
      <c r="E27" s="184">
        <f>SUM(E9:E12)+SUM(E17:E17)+E22+SUM(E25:E26)</f>
        <v>861833.94</v>
      </c>
      <c r="F27" s="645">
        <f t="shared" ref="F27:L27" si="13">SUM(F9:F12)+SUM(F17:F17)+SUM(F25:F26)</f>
        <v>929774</v>
      </c>
      <c r="G27" s="199">
        <f t="shared" si="13"/>
        <v>872275.80999999994</v>
      </c>
      <c r="H27" s="646">
        <f t="shared" si="13"/>
        <v>669274.25</v>
      </c>
      <c r="I27" s="645">
        <f>SUM(I9:I12)+SUM(I17:I17)+SUM(I25:I26)</f>
        <v>693408</v>
      </c>
      <c r="J27" s="1091">
        <f t="shared" si="13"/>
        <v>81576</v>
      </c>
      <c r="K27" s="1143">
        <f t="shared" si="13"/>
        <v>40788</v>
      </c>
      <c r="L27" s="1093">
        <f t="shared" si="13"/>
        <v>815772</v>
      </c>
      <c r="M27" s="202">
        <f t="shared" si="6"/>
        <v>87.73874081228341</v>
      </c>
      <c r="N27" s="187">
        <f t="shared" si="7"/>
        <v>93.522254159495731</v>
      </c>
    </row>
    <row r="28" spans="1:16" ht="15" x14ac:dyDescent="0.2">
      <c r="A28" s="70"/>
      <c r="B28" s="70"/>
      <c r="C28" s="521"/>
      <c r="D28" s="521"/>
      <c r="E28" s="694"/>
      <c r="F28" s="123"/>
      <c r="G28" s="695"/>
      <c r="H28" s="695"/>
      <c r="I28" s="695"/>
      <c r="J28" s="695"/>
      <c r="K28" s="695"/>
      <c r="L28" s="696"/>
      <c r="M28" s="124"/>
      <c r="N28" s="345"/>
    </row>
    <row r="29" spans="1:16" x14ac:dyDescent="0.2">
      <c r="E29" s="148"/>
      <c r="H29" s="148"/>
      <c r="K29" s="148"/>
      <c r="L29" s="148"/>
    </row>
  </sheetData>
  <mergeCells count="22">
    <mergeCell ref="B24:C24"/>
    <mergeCell ref="I6:L6"/>
    <mergeCell ref="A2:N2"/>
    <mergeCell ref="B25:C25"/>
    <mergeCell ref="B26:C26"/>
    <mergeCell ref="B18:B21"/>
    <mergeCell ref="A12:A16"/>
    <mergeCell ref="A17:A21"/>
    <mergeCell ref="B13:B16"/>
    <mergeCell ref="B10:C10"/>
    <mergeCell ref="N6:N7"/>
    <mergeCell ref="B17:C17"/>
    <mergeCell ref="B12:C12"/>
    <mergeCell ref="B9:C9"/>
    <mergeCell ref="M6:M7"/>
    <mergeCell ref="A22:C22"/>
    <mergeCell ref="F6:H6"/>
    <mergeCell ref="B23:C23"/>
    <mergeCell ref="B11:C11"/>
    <mergeCell ref="A6:A7"/>
    <mergeCell ref="B6:C7"/>
    <mergeCell ref="D6:E6"/>
  </mergeCells>
  <dataValidations count="2">
    <dataValidation type="whole" operator="greaterThan" allowBlank="1" showInputMessage="1" showErrorMessage="1" error="Nutno zadat celé číslo"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xr:uid="{B948F521-7955-4313-80B7-C9BB5B298F7F}">
      <formula1>0</formula1>
    </dataValidation>
    <dataValidation type="whole" operator="greaterThanOrEqual" allowBlank="1" showInputMessage="1" showErrorMessage="1" error="Nutno zadat celé číslo" sqref="I13:K16 I18:K21" xr:uid="{5E93B41D-E83D-47D7-9FD3-7690B31F4230}">
      <formula1>0</formula1>
    </dataValidation>
  </dataValidations>
  <printOptions horizontalCentered="1"/>
  <pageMargins left="0.59055118110236227" right="0.59055118110236227" top="0.78740157480314965" bottom="0.78740157480314965" header="0.59055118110236227" footer="0.59055118110236227"/>
  <pageSetup paperSize="9" scale="65"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27"/>
  <sheetViews>
    <sheetView zoomScale="90" zoomScaleNormal="90" workbookViewId="0"/>
  </sheetViews>
  <sheetFormatPr defaultColWidth="9.140625" defaultRowHeight="12.75" x14ac:dyDescent="0.2"/>
  <cols>
    <col min="1" max="1" width="7.7109375" style="1" customWidth="1"/>
    <col min="2" max="2" width="6.7109375" style="1" customWidth="1"/>
    <col min="3" max="3" width="40.7109375" style="1" customWidth="1"/>
    <col min="4" max="4" width="14.7109375" style="2" customWidth="1"/>
    <col min="5" max="5" width="14.7109375" style="3" customWidth="1"/>
    <col min="6" max="6" width="14.7109375" style="2" customWidth="1"/>
    <col min="7" max="9" width="14.7109375" style="3" customWidth="1"/>
    <col min="10" max="10" width="15.7109375" style="3" customWidth="1"/>
    <col min="11" max="11" width="14.7109375" style="3" customWidth="1"/>
    <col min="12" max="12" width="14.7109375" style="843" customWidth="1"/>
    <col min="13" max="14" width="9.7109375" style="5" customWidth="1"/>
    <col min="15" max="15" width="11" style="1" customWidth="1"/>
    <col min="16" max="16384" width="9.140625" style="1"/>
  </cols>
  <sheetData>
    <row r="1" spans="1:15" ht="15" x14ac:dyDescent="0.25">
      <c r="N1" s="6"/>
    </row>
    <row r="2" spans="1:15" ht="20.100000000000001" customHeight="1" x14ac:dyDescent="0.35">
      <c r="A2" s="1284" t="s">
        <v>570</v>
      </c>
      <c r="B2" s="1206"/>
      <c r="C2" s="1206"/>
      <c r="D2" s="1206"/>
      <c r="E2" s="1206"/>
      <c r="F2" s="1206"/>
      <c r="G2" s="1206"/>
      <c r="H2" s="1206"/>
      <c r="I2" s="1206"/>
      <c r="J2" s="1206"/>
      <c r="K2" s="1206"/>
      <c r="L2" s="1206"/>
      <c r="M2" s="1206"/>
      <c r="N2" s="1285"/>
      <c r="O2" s="29"/>
    </row>
    <row r="3" spans="1:15" ht="15" customHeight="1" x14ac:dyDescent="0.2"/>
    <row r="4" spans="1:15" ht="20.100000000000001" customHeight="1" x14ac:dyDescent="0.3">
      <c r="A4" s="7" t="s">
        <v>189</v>
      </c>
      <c r="M4" s="8"/>
    </row>
    <row r="5" spans="1:15" ht="15" customHeight="1" thickBot="1" x14ac:dyDescent="0.35">
      <c r="A5" s="7"/>
      <c r="N5" s="8" t="s">
        <v>0</v>
      </c>
    </row>
    <row r="6" spans="1:15" s="62" customFormat="1" ht="1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5"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5" s="9" customFormat="1" ht="20.100000000000001" customHeight="1" thickBot="1" x14ac:dyDescent="0.3">
      <c r="B8" s="10" t="s">
        <v>104</v>
      </c>
      <c r="C8" s="10"/>
      <c r="D8" s="11"/>
      <c r="E8" s="12"/>
      <c r="F8" s="11"/>
      <c r="G8" s="13"/>
      <c r="H8" s="13"/>
      <c r="I8" s="13"/>
      <c r="J8" s="13"/>
      <c r="K8" s="13"/>
      <c r="L8" s="271"/>
      <c r="M8" s="16"/>
      <c r="N8" s="16"/>
    </row>
    <row r="9" spans="1:15" s="527" customFormat="1" ht="30" customHeight="1" x14ac:dyDescent="0.2">
      <c r="A9" s="1021">
        <v>2143</v>
      </c>
      <c r="B9" s="1304" t="s">
        <v>190</v>
      </c>
      <c r="C9" s="1305"/>
      <c r="D9" s="453">
        <v>1200</v>
      </c>
      <c r="E9" s="578">
        <v>4.38</v>
      </c>
      <c r="F9" s="489">
        <v>500</v>
      </c>
      <c r="G9" s="589">
        <v>500</v>
      </c>
      <c r="H9" s="456">
        <v>2.16</v>
      </c>
      <c r="I9" s="489">
        <v>0</v>
      </c>
      <c r="J9" s="455">
        <v>500</v>
      </c>
      <c r="K9" s="1077">
        <v>0</v>
      </c>
      <c r="L9" s="904">
        <f t="shared" ref="L9:L12" si="0">SUM(I9:K9)</f>
        <v>500</v>
      </c>
      <c r="M9" s="458">
        <f t="shared" ref="M9:M12" si="1">L9/F9*100</f>
        <v>100</v>
      </c>
      <c r="N9" s="459">
        <f t="shared" ref="N9:N12" si="2">L9/G9*100</f>
        <v>100</v>
      </c>
    </row>
    <row r="10" spans="1:15" s="527" customFormat="1" ht="20.100000000000001" customHeight="1" x14ac:dyDescent="0.2">
      <c r="A10" s="507">
        <v>2143</v>
      </c>
      <c r="B10" s="1306" t="s">
        <v>191</v>
      </c>
      <c r="C10" s="1307"/>
      <c r="D10" s="471">
        <v>1000</v>
      </c>
      <c r="E10" s="579">
        <v>0</v>
      </c>
      <c r="F10" s="530">
        <v>500</v>
      </c>
      <c r="G10" s="590">
        <v>500</v>
      </c>
      <c r="H10" s="467">
        <v>0</v>
      </c>
      <c r="I10" s="1046">
        <v>0</v>
      </c>
      <c r="J10" s="531">
        <v>1000</v>
      </c>
      <c r="K10" s="1122">
        <v>0</v>
      </c>
      <c r="L10" s="1065">
        <f t="shared" si="0"/>
        <v>1000</v>
      </c>
      <c r="M10" s="476">
        <f t="shared" si="1"/>
        <v>200</v>
      </c>
      <c r="N10" s="477">
        <f t="shared" si="2"/>
        <v>200</v>
      </c>
    </row>
    <row r="11" spans="1:15" s="527" customFormat="1" ht="20.100000000000001" customHeight="1" x14ac:dyDescent="0.2">
      <c r="A11" s="507">
        <v>2143</v>
      </c>
      <c r="B11" s="1306" t="s">
        <v>192</v>
      </c>
      <c r="C11" s="1307"/>
      <c r="D11" s="530">
        <v>2000</v>
      </c>
      <c r="E11" s="579">
        <v>2000</v>
      </c>
      <c r="F11" s="530">
        <v>2000</v>
      </c>
      <c r="G11" s="536">
        <v>2000</v>
      </c>
      <c r="H11" s="579">
        <v>2000</v>
      </c>
      <c r="I11" s="530">
        <v>0</v>
      </c>
      <c r="J11" s="905">
        <v>2000</v>
      </c>
      <c r="K11" s="905">
        <v>0</v>
      </c>
      <c r="L11" s="1065">
        <f t="shared" si="0"/>
        <v>2000</v>
      </c>
      <c r="M11" s="476">
        <f t="shared" si="1"/>
        <v>100</v>
      </c>
      <c r="N11" s="477">
        <f t="shared" si="2"/>
        <v>100</v>
      </c>
    </row>
    <row r="12" spans="1:15" s="527" customFormat="1" ht="30" customHeight="1" x14ac:dyDescent="0.2">
      <c r="A12" s="507">
        <v>2510</v>
      </c>
      <c r="B12" s="1306" t="s">
        <v>450</v>
      </c>
      <c r="C12" s="1307"/>
      <c r="D12" s="530">
        <v>2100</v>
      </c>
      <c r="E12" s="579">
        <v>301.63</v>
      </c>
      <c r="F12" s="530">
        <v>1600</v>
      </c>
      <c r="G12" s="536">
        <v>1600</v>
      </c>
      <c r="H12" s="579">
        <v>198</v>
      </c>
      <c r="I12" s="530">
        <v>0</v>
      </c>
      <c r="J12" s="905">
        <v>1000</v>
      </c>
      <c r="K12" s="905">
        <v>0</v>
      </c>
      <c r="L12" s="1065">
        <f t="shared" si="0"/>
        <v>1000</v>
      </c>
      <c r="M12" s="476">
        <f t="shared" si="1"/>
        <v>62.5</v>
      </c>
      <c r="N12" s="477">
        <f t="shared" si="2"/>
        <v>62.5</v>
      </c>
      <c r="O12" s="4"/>
    </row>
    <row r="13" spans="1:15" s="527" customFormat="1" ht="20.100000000000001" customHeight="1" x14ac:dyDescent="0.2">
      <c r="A13" s="507">
        <v>3115</v>
      </c>
      <c r="B13" s="1306" t="s">
        <v>533</v>
      </c>
      <c r="C13" s="1307"/>
      <c r="D13" s="530">
        <v>0</v>
      </c>
      <c r="E13" s="579">
        <v>0</v>
      </c>
      <c r="F13" s="530">
        <v>0</v>
      </c>
      <c r="G13" s="536">
        <v>0</v>
      </c>
      <c r="H13" s="579">
        <v>0</v>
      </c>
      <c r="I13" s="530">
        <v>0</v>
      </c>
      <c r="J13" s="905">
        <v>500</v>
      </c>
      <c r="K13" s="905">
        <v>0</v>
      </c>
      <c r="L13" s="1065">
        <f t="shared" ref="L13:L17" si="3">SUM(I13:K13)</f>
        <v>500</v>
      </c>
      <c r="M13" s="476" t="s">
        <v>60</v>
      </c>
      <c r="N13" s="477" t="s">
        <v>60</v>
      </c>
    </row>
    <row r="14" spans="1:15" s="527" customFormat="1" ht="52.5" customHeight="1" x14ac:dyDescent="0.2">
      <c r="A14" s="507">
        <v>3636</v>
      </c>
      <c r="B14" s="1306" t="s">
        <v>566</v>
      </c>
      <c r="C14" s="1307"/>
      <c r="D14" s="530">
        <v>2500</v>
      </c>
      <c r="E14" s="579">
        <v>1950</v>
      </c>
      <c r="F14" s="530">
        <v>2500</v>
      </c>
      <c r="G14" s="536">
        <v>2500</v>
      </c>
      <c r="H14" s="579">
        <v>0</v>
      </c>
      <c r="I14" s="530">
        <v>0</v>
      </c>
      <c r="J14" s="905">
        <v>2500</v>
      </c>
      <c r="K14" s="905">
        <v>0</v>
      </c>
      <c r="L14" s="1065">
        <f t="shared" si="3"/>
        <v>2500</v>
      </c>
      <c r="M14" s="476">
        <f t="shared" ref="M14:M22" si="4">L14/F14*100</f>
        <v>100</v>
      </c>
      <c r="N14" s="477">
        <f t="shared" ref="N14:N22" si="5">L14/G14*100</f>
        <v>100</v>
      </c>
    </row>
    <row r="15" spans="1:15" s="527" customFormat="1" ht="79.5" customHeight="1" x14ac:dyDescent="0.2">
      <c r="A15" s="507">
        <v>3636</v>
      </c>
      <c r="B15" s="1306" t="s">
        <v>567</v>
      </c>
      <c r="C15" s="1307"/>
      <c r="D15" s="530">
        <v>0</v>
      </c>
      <c r="E15" s="579">
        <v>0</v>
      </c>
      <c r="F15" s="530">
        <v>2000</v>
      </c>
      <c r="G15" s="536">
        <v>2000</v>
      </c>
      <c r="H15" s="579">
        <v>787.94</v>
      </c>
      <c r="I15" s="530">
        <v>0</v>
      </c>
      <c r="J15" s="905">
        <v>2500</v>
      </c>
      <c r="K15" s="905">
        <v>0</v>
      </c>
      <c r="L15" s="1065">
        <f t="shared" si="3"/>
        <v>2500</v>
      </c>
      <c r="M15" s="476">
        <f t="shared" ref="M15" si="6">L15/F15*100</f>
        <v>125</v>
      </c>
      <c r="N15" s="477">
        <f t="shared" ref="N15" si="7">L15/G15*100</f>
        <v>125</v>
      </c>
      <c r="O15" s="1050"/>
    </row>
    <row r="16" spans="1:15" s="527" customFormat="1" ht="30" customHeight="1" x14ac:dyDescent="0.2">
      <c r="A16" s="507">
        <v>3636</v>
      </c>
      <c r="B16" s="1306" t="s">
        <v>423</v>
      </c>
      <c r="C16" s="1307"/>
      <c r="D16" s="530">
        <v>250</v>
      </c>
      <c r="E16" s="579">
        <v>0</v>
      </c>
      <c r="F16" s="530">
        <v>250</v>
      </c>
      <c r="G16" s="536">
        <v>250</v>
      </c>
      <c r="H16" s="579">
        <v>0</v>
      </c>
      <c r="I16" s="530">
        <v>0</v>
      </c>
      <c r="J16" s="905">
        <v>0</v>
      </c>
      <c r="K16" s="905">
        <v>0</v>
      </c>
      <c r="L16" s="1065">
        <f>SUM(I16:K16)</f>
        <v>0</v>
      </c>
      <c r="M16" s="476">
        <f>L16/F16*100</f>
        <v>0</v>
      </c>
      <c r="N16" s="477">
        <f>L16/G16*100</f>
        <v>0</v>
      </c>
    </row>
    <row r="17" spans="1:15" s="527" customFormat="1" ht="30" customHeight="1" x14ac:dyDescent="0.2">
      <c r="A17" s="507">
        <v>3636</v>
      </c>
      <c r="B17" s="1306" t="s">
        <v>532</v>
      </c>
      <c r="C17" s="1307"/>
      <c r="D17" s="530">
        <v>0</v>
      </c>
      <c r="E17" s="579">
        <v>0</v>
      </c>
      <c r="F17" s="530">
        <v>0</v>
      </c>
      <c r="G17" s="536">
        <v>0</v>
      </c>
      <c r="H17" s="579">
        <v>0</v>
      </c>
      <c r="I17" s="530">
        <v>1000</v>
      </c>
      <c r="J17" s="905">
        <v>0</v>
      </c>
      <c r="K17" s="905">
        <v>0</v>
      </c>
      <c r="L17" s="1065">
        <f t="shared" si="3"/>
        <v>1000</v>
      </c>
      <c r="M17" s="476" t="s">
        <v>60</v>
      </c>
      <c r="N17" s="477" t="s">
        <v>60</v>
      </c>
      <c r="O17" s="4"/>
    </row>
    <row r="18" spans="1:15" s="527" customFormat="1" ht="30" customHeight="1" x14ac:dyDescent="0.2">
      <c r="A18" s="507">
        <v>3636</v>
      </c>
      <c r="B18" s="1306" t="s">
        <v>553</v>
      </c>
      <c r="C18" s="1307"/>
      <c r="D18" s="530">
        <v>0</v>
      </c>
      <c r="E18" s="579">
        <v>0</v>
      </c>
      <c r="F18" s="530">
        <v>6000</v>
      </c>
      <c r="G18" s="536">
        <v>3014.46</v>
      </c>
      <c r="H18" s="579">
        <v>0</v>
      </c>
      <c r="I18" s="530">
        <v>4018</v>
      </c>
      <c r="J18" s="905">
        <v>0</v>
      </c>
      <c r="K18" s="905">
        <v>0</v>
      </c>
      <c r="L18" s="1065">
        <f t="shared" ref="L18:L21" si="8">SUM(I18:K18)</f>
        <v>4018</v>
      </c>
      <c r="M18" s="476">
        <f t="shared" ref="M18:M19" si="9">L18/F18*100</f>
        <v>66.966666666666669</v>
      </c>
      <c r="N18" s="477">
        <f t="shared" ref="N18:N20" si="10">L18/G18*100</f>
        <v>133.29087133350583</v>
      </c>
    </row>
    <row r="19" spans="1:15" s="527" customFormat="1" ht="30" customHeight="1" x14ac:dyDescent="0.2">
      <c r="A19" s="507">
        <v>3636</v>
      </c>
      <c r="B19" s="1306" t="s">
        <v>449</v>
      </c>
      <c r="C19" s="1307"/>
      <c r="D19" s="530">
        <v>0</v>
      </c>
      <c r="E19" s="579">
        <v>0</v>
      </c>
      <c r="F19" s="530">
        <v>1800</v>
      </c>
      <c r="G19" s="536">
        <v>1800</v>
      </c>
      <c r="H19" s="579">
        <v>0</v>
      </c>
      <c r="I19" s="530">
        <v>2000</v>
      </c>
      <c r="J19" s="905">
        <v>0</v>
      </c>
      <c r="K19" s="905">
        <v>0</v>
      </c>
      <c r="L19" s="1065">
        <f t="shared" si="8"/>
        <v>2000</v>
      </c>
      <c r="M19" s="476">
        <f t="shared" si="9"/>
        <v>111.11111111111111</v>
      </c>
      <c r="N19" s="477">
        <f t="shared" si="10"/>
        <v>111.11111111111111</v>
      </c>
    </row>
    <row r="20" spans="1:15" s="527" customFormat="1" ht="30" customHeight="1" x14ac:dyDescent="0.2">
      <c r="A20" s="507">
        <v>3636</v>
      </c>
      <c r="B20" s="1306" t="s">
        <v>307</v>
      </c>
      <c r="C20" s="1307"/>
      <c r="D20" s="530">
        <v>0</v>
      </c>
      <c r="E20" s="579">
        <v>0</v>
      </c>
      <c r="F20" s="530">
        <v>0</v>
      </c>
      <c r="G20" s="536">
        <v>2351.79</v>
      </c>
      <c r="H20" s="579">
        <v>0</v>
      </c>
      <c r="I20" s="530">
        <v>0</v>
      </c>
      <c r="J20" s="905">
        <v>0</v>
      </c>
      <c r="K20" s="905">
        <v>0</v>
      </c>
      <c r="L20" s="1065">
        <f t="shared" si="8"/>
        <v>0</v>
      </c>
      <c r="M20" s="476" t="s">
        <v>60</v>
      </c>
      <c r="N20" s="477">
        <f t="shared" si="10"/>
        <v>0</v>
      </c>
    </row>
    <row r="21" spans="1:15" s="527" customFormat="1" ht="17.25" customHeight="1" x14ac:dyDescent="0.2">
      <c r="A21" s="507">
        <v>3636</v>
      </c>
      <c r="B21" s="1306" t="s">
        <v>554</v>
      </c>
      <c r="C21" s="1307"/>
      <c r="D21" s="530">
        <v>0</v>
      </c>
      <c r="E21" s="579">
        <v>300</v>
      </c>
      <c r="F21" s="530">
        <v>0</v>
      </c>
      <c r="G21" s="536">
        <v>0</v>
      </c>
      <c r="H21" s="579">
        <v>0</v>
      </c>
      <c r="I21" s="530">
        <v>0</v>
      </c>
      <c r="J21" s="905">
        <v>0</v>
      </c>
      <c r="K21" s="905"/>
      <c r="L21" s="1065">
        <f t="shared" si="8"/>
        <v>0</v>
      </c>
      <c r="M21" s="476" t="s">
        <v>60</v>
      </c>
      <c r="N21" s="477" t="s">
        <v>60</v>
      </c>
    </row>
    <row r="22" spans="1:15" s="527" customFormat="1" ht="30" customHeight="1" thickBot="1" x14ac:dyDescent="0.25">
      <c r="A22" s="507">
        <v>6172</v>
      </c>
      <c r="B22" s="1306" t="s">
        <v>367</v>
      </c>
      <c r="C22" s="1307"/>
      <c r="D22" s="530">
        <v>200</v>
      </c>
      <c r="E22" s="579">
        <v>0</v>
      </c>
      <c r="F22" s="530">
        <v>200</v>
      </c>
      <c r="G22" s="536">
        <v>200</v>
      </c>
      <c r="H22" s="579">
        <v>0</v>
      </c>
      <c r="I22" s="530">
        <v>0</v>
      </c>
      <c r="J22" s="905">
        <v>200</v>
      </c>
      <c r="K22" s="905">
        <v>0</v>
      </c>
      <c r="L22" s="1065">
        <f>SUM(I22:K22)</f>
        <v>200</v>
      </c>
      <c r="M22" s="476">
        <f t="shared" si="4"/>
        <v>100</v>
      </c>
      <c r="N22" s="477">
        <f t="shared" si="5"/>
        <v>100</v>
      </c>
    </row>
    <row r="23" spans="1:15" ht="20.100000000000001" customHeight="1" thickBot="1" x14ac:dyDescent="0.3">
      <c r="A23" s="188"/>
      <c r="B23" s="417" t="s">
        <v>85</v>
      </c>
      <c r="C23" s="677"/>
      <c r="D23" s="183">
        <f t="shared" ref="D23:L23" si="11">SUM(D9:D11)+SUM(D12:D22)</f>
        <v>9250</v>
      </c>
      <c r="E23" s="195">
        <f t="shared" si="11"/>
        <v>4556.01</v>
      </c>
      <c r="F23" s="193">
        <f t="shared" si="11"/>
        <v>17350</v>
      </c>
      <c r="G23" s="185">
        <f t="shared" si="11"/>
        <v>16716.25</v>
      </c>
      <c r="H23" s="185">
        <f t="shared" si="11"/>
        <v>2988.1000000000004</v>
      </c>
      <c r="I23" s="183">
        <f t="shared" si="11"/>
        <v>7018</v>
      </c>
      <c r="J23" s="982">
        <f t="shared" si="11"/>
        <v>10200</v>
      </c>
      <c r="K23" s="193">
        <f t="shared" si="11"/>
        <v>0</v>
      </c>
      <c r="L23" s="1067">
        <f t="shared" si="11"/>
        <v>17218</v>
      </c>
      <c r="M23" s="186">
        <f>L23/F23*100</f>
        <v>99.239193083573483</v>
      </c>
      <c r="N23" s="197">
        <f t="shared" ref="N23" si="12">L23/G23*100</f>
        <v>103.0015703282734</v>
      </c>
      <c r="O23" s="18"/>
    </row>
    <row r="24" spans="1:15" x14ac:dyDescent="0.2">
      <c r="C24" s="2"/>
      <c r="D24" s="3"/>
      <c r="F24" s="3"/>
      <c r="L24" s="3"/>
      <c r="N24" s="1"/>
    </row>
    <row r="25" spans="1:15" ht="15.75" x14ac:dyDescent="0.25">
      <c r="A25" s="9"/>
      <c r="C25" s="1192"/>
      <c r="D25" s="3"/>
      <c r="F25" s="3"/>
      <c r="L25" s="3"/>
      <c r="M25" s="350"/>
    </row>
    <row r="27" spans="1:15" ht="15" x14ac:dyDescent="0.25">
      <c r="C27" s="864"/>
    </row>
  </sheetData>
  <mergeCells count="22">
    <mergeCell ref="B17:C17"/>
    <mergeCell ref="B16:C16"/>
    <mergeCell ref="B22:C22"/>
    <mergeCell ref="B18:C18"/>
    <mergeCell ref="B19:C19"/>
    <mergeCell ref="B21:C21"/>
    <mergeCell ref="B20:C20"/>
    <mergeCell ref="B15:C15"/>
    <mergeCell ref="B12:C12"/>
    <mergeCell ref="B14:C14"/>
    <mergeCell ref="B13:C13"/>
    <mergeCell ref="N6:N7"/>
    <mergeCell ref="B6:C7"/>
    <mergeCell ref="B11:C11"/>
    <mergeCell ref="B9:C9"/>
    <mergeCell ref="B10:C10"/>
    <mergeCell ref="A2:N2"/>
    <mergeCell ref="A6:A7"/>
    <mergeCell ref="D6:E6"/>
    <mergeCell ref="F6:H6"/>
    <mergeCell ref="I6:L6"/>
    <mergeCell ref="M6:M7"/>
  </mergeCells>
  <printOptions horizontalCentered="1"/>
  <pageMargins left="0.59055118110236227" right="0.59055118110236227" top="0.78740157480314965" bottom="0.59055118110236227" header="0.59055118110236227" footer="0.59055118110236227"/>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7"/>
  <sheetViews>
    <sheetView workbookViewId="0">
      <selection activeCell="G13" sqref="G13"/>
    </sheetView>
  </sheetViews>
  <sheetFormatPr defaultColWidth="9.140625" defaultRowHeight="12.75" x14ac:dyDescent="0.2"/>
  <cols>
    <col min="1" max="1" width="42.42578125" style="57" customWidth="1"/>
    <col min="2" max="7" width="16.7109375" style="724" customWidth="1"/>
    <col min="8" max="8" width="10.7109375" style="726" customWidth="1"/>
    <col min="9" max="9" width="9.140625" style="624"/>
    <col min="10" max="10" width="13.140625" style="624" bestFit="1" customWidth="1"/>
    <col min="11" max="11" width="10.42578125" style="57" bestFit="1" customWidth="1"/>
    <col min="12" max="16384" width="9.140625" style="57"/>
  </cols>
  <sheetData>
    <row r="1" spans="1:11" ht="15" customHeight="1" x14ac:dyDescent="0.2">
      <c r="H1" s="725"/>
    </row>
    <row r="2" spans="1:11" ht="24" customHeight="1" x14ac:dyDescent="0.2">
      <c r="A2" s="399" t="s">
        <v>486</v>
      </c>
    </row>
    <row r="3" spans="1:11" ht="15" customHeight="1" x14ac:dyDescent="0.2">
      <c r="A3" s="727"/>
    </row>
    <row r="4" spans="1:11" ht="20.100000000000001" customHeight="1" x14ac:dyDescent="0.2">
      <c r="A4" s="727" t="s">
        <v>47</v>
      </c>
    </row>
    <row r="5" spans="1:11" ht="15" customHeight="1" x14ac:dyDescent="0.2">
      <c r="A5" s="728"/>
    </row>
    <row r="6" spans="1:11" ht="15" customHeight="1" thickBot="1" x14ac:dyDescent="0.25">
      <c r="A6" s="729"/>
      <c r="H6" s="730" t="s">
        <v>0</v>
      </c>
    </row>
    <row r="7" spans="1:11" ht="15.95" customHeight="1" x14ac:dyDescent="0.2">
      <c r="A7" s="1210" t="s">
        <v>1</v>
      </c>
      <c r="B7" s="1208" t="s">
        <v>283</v>
      </c>
      <c r="C7" s="1209"/>
      <c r="D7" s="1208" t="s">
        <v>390</v>
      </c>
      <c r="E7" s="1212"/>
      <c r="F7" s="1209"/>
      <c r="G7" s="1213" t="s">
        <v>484</v>
      </c>
      <c r="H7" s="1215" t="s">
        <v>485</v>
      </c>
    </row>
    <row r="8" spans="1:11" ht="27" customHeight="1" thickBot="1" x14ac:dyDescent="0.25">
      <c r="A8" s="1211"/>
      <c r="B8" s="267" t="s">
        <v>109</v>
      </c>
      <c r="C8" s="272" t="s">
        <v>110</v>
      </c>
      <c r="D8" s="267" t="s">
        <v>109</v>
      </c>
      <c r="E8" s="268" t="s">
        <v>586</v>
      </c>
      <c r="F8" s="269" t="s">
        <v>587</v>
      </c>
      <c r="G8" s="1214"/>
      <c r="H8" s="1216"/>
    </row>
    <row r="9" spans="1:11" ht="20.25" customHeight="1" x14ac:dyDescent="0.2">
      <c r="A9" s="282" t="s">
        <v>46</v>
      </c>
      <c r="B9" s="286">
        <f>'Sumář příjmů a výdajů'!B10+'Sumář příjmů a výdajů'!B11+'Sumář příjmů a výdajů'!B12+'Sumář příjmů a výdajů'!B13</f>
        <v>10963500</v>
      </c>
      <c r="C9" s="287">
        <f>'Sumář příjmů a výdajů'!C10+'Sumář příjmů a výdajů'!C11+'Sumář příjmů a výdajů'!C12+'Sumář příjmů a výdajů'!C13</f>
        <v>13011977.779999997</v>
      </c>
      <c r="D9" s="286">
        <f>'Sumář příjmů a výdajů'!D10+'Sumář příjmů a výdajů'!D11+'Sumář příjmů a výdajů'!D12+'Sumář příjmů a výdajů'!D13</f>
        <v>13564000</v>
      </c>
      <c r="E9" s="288">
        <f>'Sumář příjmů a výdajů'!E10+'Sumář příjmů a výdajů'!E11+'Sumář příjmů a výdajů'!E12+'Sumář příjmů a výdajů'!E13</f>
        <v>13603028.700000001</v>
      </c>
      <c r="F9" s="289">
        <f>'Sumář příjmů a výdajů'!F10+'Sumář příjmů a výdajů'!F11+'Sumář příjmů a výdajů'!F12+'Sumář příjmů a výdajů'!F13</f>
        <v>11174406.610000001</v>
      </c>
      <c r="G9" s="283">
        <f>'Sumář příjmů a výdajů'!G10+'Sumář příjmů a výdajů'!G11+'Sumář příjmů a výdajů'!G12+'Sumář příjmů a výdajů'!G13</f>
        <v>15071000</v>
      </c>
      <c r="H9" s="284">
        <f>G9/D9*100</f>
        <v>111.11029194927751</v>
      </c>
    </row>
    <row r="10" spans="1:11" ht="20.25" customHeight="1" x14ac:dyDescent="0.2">
      <c r="A10" s="285" t="s">
        <v>45</v>
      </c>
      <c r="B10" s="286">
        <f>'Sumář příjmů a výdajů'!B14+'Sumář příjmů a výdajů'!B15+'Sumář příjmů a výdajů'!B16+'Sumář příjmů a výdajů'!B17+'Sumář příjmů a výdajů'!B18+'Sumář příjmů a výdajů'!B21+'Sumář příjmů a výdajů'!B22</f>
        <v>1314103</v>
      </c>
      <c r="C10" s="287">
        <f>'Sumář příjmů a výdajů'!C14+'Sumář příjmů a výdajů'!C15+'Sumář příjmů a výdajů'!C16+'Sumář příjmů a výdajů'!C17+'Sumář příjmů a výdajů'!C18+'Sumář příjmů a výdajů'!C21+'Sumář příjmů a výdajů'!C22</f>
        <v>1340087.07</v>
      </c>
      <c r="D10" s="286">
        <f>'Sumář příjmů a výdajů'!D14+'Sumář příjmů a výdajů'!D15+'Sumář příjmů a výdajů'!D16+'Sumář příjmů a výdajů'!D17+'Sumář příjmů a výdajů'!D18+'Sumář příjmů a výdajů'!D21+'Sumář příjmů a výdajů'!D22</f>
        <v>1735854</v>
      </c>
      <c r="E10" s="288">
        <f>'Sumář příjmů a výdajů'!E14+'Sumář příjmů a výdajů'!E15+'Sumář příjmů a výdajů'!E16+'Sumář příjmů a výdajů'!E17+'Sumář příjmů a výdajů'!E18+'Sumář příjmů a výdajů'!E21+'Sumář příjmů a výdajů'!E22</f>
        <v>2132645.63</v>
      </c>
      <c r="F10" s="289">
        <f>'Sumář příjmů a výdajů'!F14+'Sumář příjmů a výdajů'!F15+'Sumář příjmů a výdajů'!F16+'Sumář příjmů a výdajů'!F17+'Sumář příjmů a výdajů'!F18+'Sumář příjmů a výdajů'!F21+'Sumář příjmů a výdajů'!F22</f>
        <v>1158444.0900000001</v>
      </c>
      <c r="G10" s="290">
        <f>'Sumář příjmů a výdajů'!G14+'Sumář příjmů a výdajů'!G15+'Sumář příjmů a výdajů'!G16+'Sumář příjmů a výdajů'!G17</f>
        <v>84508</v>
      </c>
      <c r="H10" s="291">
        <f t="shared" ref="H10:H31" si="0">G10/D10*100</f>
        <v>4.8683817878692563</v>
      </c>
      <c r="K10" s="624"/>
    </row>
    <row r="11" spans="1:11" ht="20.25" customHeight="1" x14ac:dyDescent="0.2">
      <c r="A11" s="285" t="s">
        <v>44</v>
      </c>
      <c r="B11" s="286">
        <f>+'Sumář příjmů a výdajů'!B19</f>
        <v>8000</v>
      </c>
      <c r="C11" s="287">
        <f>+'Sumář příjmů a výdajů'!C19</f>
        <v>58962.78</v>
      </c>
      <c r="D11" s="286">
        <f>+'Sumář příjmů a výdajů'!D19</f>
        <v>16000</v>
      </c>
      <c r="E11" s="288">
        <f>+'Sumář příjmů a výdajů'!E19</f>
        <v>16000</v>
      </c>
      <c r="F11" s="289">
        <f>+'Sumář příjmů a výdajů'!F19</f>
        <v>22811.38</v>
      </c>
      <c r="G11" s="290">
        <f>+'Sumář příjmů a výdajů'!G19</f>
        <v>17000</v>
      </c>
      <c r="H11" s="291">
        <f t="shared" si="0"/>
        <v>106.25</v>
      </c>
    </row>
    <row r="12" spans="1:11" ht="20.25" customHeight="1" x14ac:dyDescent="0.2">
      <c r="A12" s="285" t="s">
        <v>92</v>
      </c>
      <c r="B12" s="286">
        <f>'Sumář příjmů a výdajů'!B20+'Sumář příjmů a výdajů'!B23+'Sumář příjmů a výdajů'!B24+'Sumář příjmů a výdajů'!B25+'Sumář příjmů a výdajů'!B26+'Sumář příjmů a výdajů'!B27+'Sumář příjmů a výdajů'!B28+'Sumář příjmů a výdajů'!B29+'Sumář příjmů a výdajů'!B30+'Sumář příjmů a výdajů'!B31</f>
        <v>23435304.199999999</v>
      </c>
      <c r="C12" s="287">
        <f>'Sumář příjmů a výdajů'!C20+'Sumář příjmů a výdajů'!C23+'Sumář příjmů a výdajů'!C24+'Sumář příjmů a výdajů'!C25+'Sumář příjmů a výdajů'!C26+'Sumář příjmů a výdajů'!C27+'Sumář příjmů a výdajů'!C28+'Sumář příjmů a výdajů'!C29+'Sumář příjmů a výdajů'!C30+'Sumář příjmů a výdajů'!C31</f>
        <v>31222505.970000003</v>
      </c>
      <c r="D12" s="286">
        <f>'Sumář příjmů a výdajů'!D20+'Sumář příjmů a výdajů'!D23+'Sumář příjmů a výdajů'!D24+'Sumář příjmů a výdajů'!D25+'Sumář příjmů a výdajů'!D26+'Sumář příjmů a výdajů'!D27+'Sumář příjmů a výdajů'!D28+'Sumář příjmů a výdajů'!D29+'Sumář příjmů a výdajů'!D30+'Sumář příjmů a výdajů'!D31</f>
        <v>26703661.300000001</v>
      </c>
      <c r="E12" s="288">
        <f>'Sumář příjmů a výdajů'!E20+'Sumář příjmů a výdajů'!E23+'Sumář příjmů a výdajů'!E24+'Sumář příjmů a výdajů'!E25+'Sumář příjmů a výdajů'!E26+'Sumář příjmů a výdajů'!E27+'Sumář příjmů a výdajů'!E28+'Sumář příjmů a výdajů'!E29+'Sumář příjmů a výdajů'!E30+'Sumář příjmů a výdajů'!E31</f>
        <v>34178805.119999997</v>
      </c>
      <c r="F12" s="289">
        <f>'Sumář příjmů a výdajů'!F20+'Sumář příjmů a výdajů'!F23+'Sumář příjmů a výdajů'!F24+'Sumář příjmů a výdajů'!F25+'Sumář příjmů a výdajů'!F26+'Sumář příjmů a výdajů'!F27+'Sumář příjmů a výdajů'!F28+'Sumář příjmů a výdajů'!F29+'Sumář příjmů a výdajů'!F30+'Sumář příjmů a výdajů'!F31</f>
        <v>27812602.090000007</v>
      </c>
      <c r="G12" s="290">
        <f>'Sumář příjmů a výdajů'!G20+'Sumář příjmů a výdajů'!G21+'Sumář příjmů a výdajů'!G22+'Sumář příjmů a výdajů'!G23+'Sumář příjmů a výdajů'!G24+'Sumář příjmů a výdajů'!G25+'Sumář příjmů a výdajů'!G26+'Sumář příjmů a výdajů'!G27+'Sumář příjmů a výdajů'!G28+'Sumář příjmů a výdajů'!G29+'Sumář příjmů a výdajů'!G30+'Sumář příjmů a výdajů'!G31</f>
        <v>32629721.800000001</v>
      </c>
      <c r="H12" s="291">
        <f t="shared" si="0"/>
        <v>122.19194002434415</v>
      </c>
    </row>
    <row r="13" spans="1:11" s="728" customFormat="1" ht="30.2" customHeight="1" x14ac:dyDescent="0.2">
      <c r="A13" s="292" t="s">
        <v>9</v>
      </c>
      <c r="B13" s="293">
        <v>31936641.199999999</v>
      </c>
      <c r="C13" s="294">
        <f t="shared" ref="C13:G13" si="1">SUM(C9:C12)</f>
        <v>45633533.600000001</v>
      </c>
      <c r="D13" s="293">
        <f t="shared" ref="D13" si="2">SUM(D9:D12)</f>
        <v>42019515.299999997</v>
      </c>
      <c r="E13" s="295">
        <f t="shared" si="1"/>
        <v>49930479.450000003</v>
      </c>
      <c r="F13" s="296">
        <f t="shared" si="1"/>
        <v>40168264.170000009</v>
      </c>
      <c r="G13" s="297">
        <f t="shared" si="1"/>
        <v>47802229.799999997</v>
      </c>
      <c r="H13" s="298">
        <f t="shared" si="0"/>
        <v>113.7619733562229</v>
      </c>
      <c r="I13" s="624"/>
      <c r="J13" s="624"/>
    </row>
    <row r="14" spans="1:11" s="728" customFormat="1" ht="6" customHeight="1" x14ac:dyDescent="0.2">
      <c r="A14" s="292"/>
      <c r="B14" s="293"/>
      <c r="C14" s="294"/>
      <c r="D14" s="775"/>
      <c r="E14" s="295"/>
      <c r="F14" s="296"/>
      <c r="G14" s="297"/>
      <c r="H14" s="298"/>
      <c r="I14" s="624"/>
      <c r="J14" s="624"/>
    </row>
    <row r="15" spans="1:11" s="728" customFormat="1" ht="20.25" customHeight="1" x14ac:dyDescent="0.2">
      <c r="A15" s="285" t="s">
        <v>76</v>
      </c>
      <c r="B15" s="286">
        <f>+'Sumář příjmů a výdajů'!B74-Bilance!B16</f>
        <v>33856065.200970002</v>
      </c>
      <c r="C15" s="287">
        <f>+'Sumář příjmů a výdajů'!C74-Bilance!C16</f>
        <v>38749345.793000005</v>
      </c>
      <c r="D15" s="286">
        <f>+'Sumář příjmů a výdajů'!D74-Bilance!D16</f>
        <v>39317649.299999997</v>
      </c>
      <c r="E15" s="288">
        <f>+'Sumář příjmů a výdajů'!E74-Bilance!E16</f>
        <v>46027776.098000005</v>
      </c>
      <c r="F15" s="289">
        <f>+'Sumář příjmů a výdajů'!F74-Bilance!F16</f>
        <v>35059423.599999994</v>
      </c>
      <c r="G15" s="290">
        <f>+'Sumář příjmů a výdajů'!G74-Bilance!G16</f>
        <v>45281930.799999997</v>
      </c>
      <c r="H15" s="291">
        <f t="shared" si="0"/>
        <v>115.16947631963339</v>
      </c>
      <c r="I15" s="624"/>
      <c r="J15" s="624"/>
    </row>
    <row r="16" spans="1:11" s="728" customFormat="1" ht="20.25" customHeight="1" x14ac:dyDescent="0.2">
      <c r="A16" s="285" t="s">
        <v>77</v>
      </c>
      <c r="B16" s="286">
        <f>+'Kapitálové výdaje '!C38</f>
        <v>6350943</v>
      </c>
      <c r="C16" s="287">
        <f>+'Kapitálové výdaje '!D38</f>
        <v>5623097.0599999996</v>
      </c>
      <c r="D16" s="286">
        <f>+'Kapitálové výdaje '!E38</f>
        <v>5748911</v>
      </c>
      <c r="E16" s="288">
        <f>+'Kapitálové výdaje '!F38</f>
        <v>10832675.240000002</v>
      </c>
      <c r="F16" s="289">
        <f>+'Kapitálové výdaje '!G38</f>
        <v>4228584.040000001</v>
      </c>
      <c r="G16" s="290">
        <f>+'Kapitálové výdaje '!H38</f>
        <v>4221548</v>
      </c>
      <c r="H16" s="291">
        <f t="shared" si="0"/>
        <v>73.432133494500079</v>
      </c>
      <c r="I16" s="624"/>
      <c r="J16" s="624"/>
    </row>
    <row r="17" spans="1:10" s="728" customFormat="1" ht="30.2" customHeight="1" x14ac:dyDescent="0.2">
      <c r="A17" s="300" t="s">
        <v>43</v>
      </c>
      <c r="B17" s="293">
        <v>33145395.199999999</v>
      </c>
      <c r="C17" s="294">
        <f t="shared" ref="C17:G17" si="3">SUM(C15:C16)</f>
        <v>44372442.853000008</v>
      </c>
      <c r="D17" s="293">
        <f t="shared" ref="D17" si="4">SUM(D15:D16)</f>
        <v>45066560.299999997</v>
      </c>
      <c r="E17" s="295">
        <f t="shared" si="3"/>
        <v>56860451.338000007</v>
      </c>
      <c r="F17" s="296">
        <f t="shared" si="3"/>
        <v>39288007.639999993</v>
      </c>
      <c r="G17" s="297">
        <f t="shared" si="3"/>
        <v>49503478.799999997</v>
      </c>
      <c r="H17" s="298">
        <f t="shared" si="0"/>
        <v>109.84525659483269</v>
      </c>
      <c r="I17" s="624"/>
      <c r="J17" s="624"/>
    </row>
    <row r="18" spans="1:10" s="728" customFormat="1" ht="6" customHeight="1" x14ac:dyDescent="0.2">
      <c r="A18" s="300"/>
      <c r="B18" s="293"/>
      <c r="C18" s="294"/>
      <c r="D18" s="775"/>
      <c r="E18" s="295"/>
      <c r="F18" s="296"/>
      <c r="G18" s="297"/>
      <c r="H18" s="298"/>
      <c r="I18" s="624"/>
      <c r="J18" s="624"/>
    </row>
    <row r="19" spans="1:10" s="728" customFormat="1" ht="30.2" customHeight="1" x14ac:dyDescent="0.2">
      <c r="A19" s="300" t="s">
        <v>42</v>
      </c>
      <c r="B19" s="293">
        <v>-1208754</v>
      </c>
      <c r="C19" s="294">
        <f t="shared" ref="C19:G19" si="5">C13-C17</f>
        <v>1261090.7469999939</v>
      </c>
      <c r="D19" s="293">
        <f t="shared" ref="D19" si="6">D13-D17</f>
        <v>-3047045</v>
      </c>
      <c r="E19" s="295">
        <f t="shared" si="5"/>
        <v>-6929971.888000004</v>
      </c>
      <c r="F19" s="296">
        <f t="shared" si="5"/>
        <v>880256.53000001609</v>
      </c>
      <c r="G19" s="297">
        <f t="shared" si="5"/>
        <v>-1701249</v>
      </c>
      <c r="H19" s="298">
        <f t="shared" si="0"/>
        <v>55.832749434287976</v>
      </c>
      <c r="I19" s="624"/>
      <c r="J19" s="624"/>
    </row>
    <row r="20" spans="1:10" s="728" customFormat="1" ht="6" customHeight="1" x14ac:dyDescent="0.2">
      <c r="A20" s="300"/>
      <c r="B20" s="293"/>
      <c r="C20" s="294"/>
      <c r="D20" s="775"/>
      <c r="E20" s="295"/>
      <c r="F20" s="296"/>
      <c r="G20" s="297"/>
      <c r="H20" s="298"/>
      <c r="I20" s="624"/>
      <c r="J20" s="624"/>
    </row>
    <row r="21" spans="1:10" ht="20.25" customHeight="1" x14ac:dyDescent="0.2">
      <c r="A21" s="301" t="s">
        <v>67</v>
      </c>
      <c r="B21" s="286">
        <f>+'Sumář příjmů a výdajů'!B35+'Sumář příjmů a výdajů'!B36</f>
        <v>1510000</v>
      </c>
      <c r="C21" s="287">
        <f>+'Sumář příjmů a výdajů'!C35+'Sumář příjmů a výdajů'!C36</f>
        <v>150106.82999999999</v>
      </c>
      <c r="D21" s="286">
        <f>+'Sumář příjmů a výdajů'!D35+'Sumář příjmů a výdajů'!D36</f>
        <v>10000</v>
      </c>
      <c r="E21" s="288">
        <f>+'Sumář příjmů a výdajů'!E35+'Sumář příjmů a výdajů'!E36+'Sumář příjmů a výdajů'!E37</f>
        <v>3892926.89</v>
      </c>
      <c r="F21" s="288">
        <f>+'Sumář příjmů a výdajů'!F35+'Sumář příjmů a výdajů'!F36+'Sumář příjmů a výdajů'!F37</f>
        <v>626899.91</v>
      </c>
      <c r="G21" s="290">
        <f>+'Sumář příjmů a výdajů'!G35+'Sumář příjmů a výdajů'!G36+'Sumář příjmů a výdajů'!G37</f>
        <v>29562</v>
      </c>
      <c r="H21" s="806">
        <f t="shared" si="0"/>
        <v>295.62</v>
      </c>
    </row>
    <row r="22" spans="1:10" ht="30" customHeight="1" x14ac:dyDescent="0.2">
      <c r="A22" s="301" t="s">
        <v>354</v>
      </c>
      <c r="B22" s="286">
        <f>+'Sumář příjmů a výdajů'!B38</f>
        <v>1856703</v>
      </c>
      <c r="C22" s="287">
        <f>+'Sumář příjmů a výdajů'!C38</f>
        <v>500000</v>
      </c>
      <c r="D22" s="286">
        <f>+'Sumář příjmů a výdajů'!D38</f>
        <v>1579703</v>
      </c>
      <c r="E22" s="288">
        <f>+'Sumář příjmů a výdajů'!E38</f>
        <v>1579703</v>
      </c>
      <c r="F22" s="299">
        <f>+'Sumář příjmů a výdajů'!F38</f>
        <v>285000</v>
      </c>
      <c r="G22" s="290">
        <f>+'Sumář příjmů a výdajů'!G38</f>
        <v>1006026</v>
      </c>
      <c r="H22" s="806">
        <f t="shared" si="0"/>
        <v>63.68450271981505</v>
      </c>
    </row>
    <row r="23" spans="1:10" ht="30" customHeight="1" x14ac:dyDescent="0.2">
      <c r="A23" s="301" t="s">
        <v>321</v>
      </c>
      <c r="B23" s="286">
        <f>+'Sumář příjmů a výdajů'!B40</f>
        <v>1437025</v>
      </c>
      <c r="C23" s="287">
        <f>+'Sumář příjmů a výdajů'!C40</f>
        <v>0</v>
      </c>
      <c r="D23" s="286">
        <f>+'Sumář příjmů a výdajů'!D40</f>
        <v>1389497</v>
      </c>
      <c r="E23" s="288">
        <f>+'Sumář příjmů a výdajů'!E40</f>
        <v>1389497</v>
      </c>
      <c r="F23" s="299">
        <f>+'Sumář příjmů a výdajů'!F40</f>
        <v>0</v>
      </c>
      <c r="G23" s="290">
        <f>+'Sumář příjmů a výdajů'!G40</f>
        <v>575227</v>
      </c>
      <c r="H23" s="806">
        <f t="shared" si="0"/>
        <v>41.3982182041415</v>
      </c>
    </row>
    <row r="24" spans="1:10" ht="30" customHeight="1" x14ac:dyDescent="0.2">
      <c r="A24" s="301" t="s">
        <v>322</v>
      </c>
      <c r="B24" s="286">
        <f>+'Sumář příjmů a výdajů'!B39</f>
        <v>2000000</v>
      </c>
      <c r="C24" s="287">
        <f>+'Sumář příjmů a výdajů'!C39</f>
        <v>0</v>
      </c>
      <c r="D24" s="286">
        <f>+'Sumář příjmů a výdajů'!D39</f>
        <v>385472</v>
      </c>
      <c r="E24" s="288">
        <f>+'Sumář příjmů a výdajů'!E39</f>
        <v>385472</v>
      </c>
      <c r="F24" s="299">
        <f>+'Sumář příjmů a výdajů'!F39</f>
        <v>0</v>
      </c>
      <c r="G24" s="290">
        <f>+'Sumář příjmů a výdajů'!G39</f>
        <v>377022</v>
      </c>
      <c r="H24" s="806">
        <f t="shared" si="0"/>
        <v>97.807882284575797</v>
      </c>
    </row>
    <row r="25" spans="1:10" ht="30" customHeight="1" x14ac:dyDescent="0.2">
      <c r="A25" s="301" t="s">
        <v>335</v>
      </c>
      <c r="B25" s="286">
        <f>-'Sumář příjmů a výdajů'!B77</f>
        <v>-239487</v>
      </c>
      <c r="C25" s="287">
        <f>-'Sumář příjmů a výdajů'!C77</f>
        <v>-239486.82</v>
      </c>
      <c r="D25" s="286">
        <f>-'Sumář příjmů a výdajů'!D77</f>
        <v>-239487</v>
      </c>
      <c r="E25" s="288">
        <f>-'Sumář příjmů a výdajů'!E77</f>
        <v>-239487</v>
      </c>
      <c r="F25" s="299">
        <f>-'Sumář příjmů a výdajů'!F77</f>
        <v>-179615.11</v>
      </c>
      <c r="G25" s="290">
        <f>-'Sumář příjmů a výdajů'!G77</f>
        <v>-239487</v>
      </c>
      <c r="H25" s="806">
        <f t="shared" si="0"/>
        <v>100</v>
      </c>
    </row>
    <row r="26" spans="1:10" ht="30" customHeight="1" x14ac:dyDescent="0.2">
      <c r="A26" s="301" t="s">
        <v>323</v>
      </c>
      <c r="B26" s="286">
        <f>-'Sumář příjmů a výdajů'!B79</f>
        <v>-78140</v>
      </c>
      <c r="C26" s="287">
        <f>-'Sumář příjmů a výdajů'!C79</f>
        <v>-78140</v>
      </c>
      <c r="D26" s="286">
        <f>-'Sumář příjmů a výdajů'!D79</f>
        <v>-78140</v>
      </c>
      <c r="E26" s="288">
        <f>-'Sumář příjmů a výdajů'!E79</f>
        <v>-78140</v>
      </c>
      <c r="F26" s="299">
        <f>-'Sumář příjmů a výdajů'!F79</f>
        <v>-58605</v>
      </c>
      <c r="G26" s="290">
        <f>-'Sumář příjmů a výdajů'!G79</f>
        <v>-39070</v>
      </c>
      <c r="H26" s="806">
        <f t="shared" si="0"/>
        <v>50</v>
      </c>
    </row>
    <row r="27" spans="1:10" ht="30" customHeight="1" x14ac:dyDescent="0.2">
      <c r="A27" s="301" t="s">
        <v>324</v>
      </c>
      <c r="B27" s="286">
        <f>-'Sumář příjmů a výdajů'!B78</f>
        <v>-2000000</v>
      </c>
      <c r="C27" s="287">
        <f>-'Sumář příjmů a výdajů'!C78</f>
        <v>-2000000</v>
      </c>
      <c r="D27" s="286">
        <f>-'Sumář příjmů a výdajů'!D78</f>
        <v>0</v>
      </c>
      <c r="E27" s="288">
        <f>-'Sumář příjmů a výdajů'!E78</f>
        <v>0</v>
      </c>
      <c r="F27" s="299">
        <f>-'Sumář příjmů a výdajů'!F78</f>
        <v>0</v>
      </c>
      <c r="G27" s="290">
        <f>-'Sumář příjmů a výdajů'!G78</f>
        <v>0</v>
      </c>
      <c r="H27" s="847" t="s">
        <v>60</v>
      </c>
    </row>
    <row r="28" spans="1:10" ht="30" customHeight="1" x14ac:dyDescent="0.2">
      <c r="A28" s="301" t="s">
        <v>564</v>
      </c>
      <c r="B28" s="286">
        <v>0</v>
      </c>
      <c r="C28" s="287">
        <v>0</v>
      </c>
      <c r="D28" s="286">
        <v>0</v>
      </c>
      <c r="E28" s="288">
        <v>0</v>
      </c>
      <c r="F28" s="299">
        <v>0</v>
      </c>
      <c r="G28" s="290">
        <f>-'Sumář příjmů a výdajů'!G80</f>
        <v>-8031</v>
      </c>
      <c r="H28" s="847" t="s">
        <v>60</v>
      </c>
    </row>
    <row r="29" spans="1:10" ht="20.25" customHeight="1" x14ac:dyDescent="0.2">
      <c r="A29" s="301" t="s">
        <v>442</v>
      </c>
      <c r="B29" s="286">
        <v>0</v>
      </c>
      <c r="C29" s="287">
        <f>+'Sumář příjmů a výdajů'!C41</f>
        <v>400000</v>
      </c>
      <c r="D29" s="286">
        <f>+'Sumář příjmů a výdajů'!D41</f>
        <v>0</v>
      </c>
      <c r="E29" s="288">
        <f>+'Sumář příjmů a výdajů'!E41</f>
        <v>0</v>
      </c>
      <c r="F29" s="299">
        <f>-'Sumář příjmů a výdajů'!F81</f>
        <v>-1500000</v>
      </c>
      <c r="G29" s="290">
        <v>0</v>
      </c>
      <c r="H29" s="847" t="s">
        <v>60</v>
      </c>
    </row>
    <row r="30" spans="1:10" ht="20.25" customHeight="1" x14ac:dyDescent="0.2">
      <c r="A30" s="301" t="s">
        <v>68</v>
      </c>
      <c r="B30" s="286">
        <v>0</v>
      </c>
      <c r="C30" s="287">
        <f>+'Sumář příjmů a výdajů'!C42</f>
        <v>6429.24</v>
      </c>
      <c r="D30" s="286">
        <f>+'Sumář příjmů a výdajů'!D42</f>
        <v>0</v>
      </c>
      <c r="E30" s="288">
        <f>+'Sumář příjmů a výdajů'!E42</f>
        <v>0</v>
      </c>
      <c r="F30" s="299">
        <f>-'Sumář příjmů a výdajů'!F82</f>
        <v>-53936.33</v>
      </c>
      <c r="G30" s="290">
        <v>0</v>
      </c>
      <c r="H30" s="847" t="s">
        <v>60</v>
      </c>
    </row>
    <row r="31" spans="1:10" s="728" customFormat="1" ht="30.2" customHeight="1" thickBot="1" x14ac:dyDescent="0.25">
      <c r="A31" s="300" t="s">
        <v>41</v>
      </c>
      <c r="B31" s="419">
        <v>1208754</v>
      </c>
      <c r="C31" s="420">
        <f>SUM(C21:C30)</f>
        <v>-1261090.75</v>
      </c>
      <c r="D31" s="419">
        <f>SUM(D21:D30)</f>
        <v>3047045</v>
      </c>
      <c r="E31" s="776">
        <f>SUM(E21:E30)</f>
        <v>6929971.8900000006</v>
      </c>
      <c r="F31" s="777">
        <f>SUM(F21:F30)</f>
        <v>-880256.52999999991</v>
      </c>
      <c r="G31" s="778">
        <f>SUM(G21:G30)</f>
        <v>1701249</v>
      </c>
      <c r="H31" s="779">
        <f t="shared" si="0"/>
        <v>55.832749434287976</v>
      </c>
      <c r="I31" s="624"/>
      <c r="J31" s="624"/>
    </row>
    <row r="32" spans="1:10" s="728" customFormat="1" ht="6" customHeight="1" thickBot="1" x14ac:dyDescent="0.25">
      <c r="A32" s="302"/>
      <c r="B32" s="303"/>
      <c r="C32" s="304"/>
      <c r="D32" s="303"/>
      <c r="E32" s="305"/>
      <c r="F32" s="306"/>
      <c r="G32" s="307"/>
      <c r="H32" s="308"/>
      <c r="I32" s="624"/>
      <c r="J32" s="624"/>
    </row>
    <row r="33" spans="1:10" s="728" customFormat="1" ht="30" customHeight="1" thickBot="1" x14ac:dyDescent="0.25">
      <c r="A33" s="309" t="s">
        <v>17</v>
      </c>
      <c r="B33" s="310">
        <v>0</v>
      </c>
      <c r="C33" s="311">
        <f>SUM(C19+C31)</f>
        <v>-3.0000060796737671E-3</v>
      </c>
      <c r="D33" s="310">
        <f>SUM(D19+D31)</f>
        <v>0</v>
      </c>
      <c r="E33" s="774">
        <f>SUM(E19+E31)</f>
        <v>1.9999966025352478E-3</v>
      </c>
      <c r="F33" s="312">
        <f>SUM(F19+F31)</f>
        <v>1.6181729733943939E-8</v>
      </c>
      <c r="G33" s="313">
        <f>SUM(G19+G31)</f>
        <v>0</v>
      </c>
      <c r="H33" s="314" t="s">
        <v>60</v>
      </c>
      <c r="I33" s="624"/>
      <c r="J33" s="624"/>
    </row>
    <row r="34" spans="1:10" ht="15.75" x14ac:dyDescent="0.2">
      <c r="A34" s="731"/>
    </row>
    <row r="35" spans="1:10" ht="15.75" x14ac:dyDescent="0.2">
      <c r="A35" s="731"/>
    </row>
    <row r="36" spans="1:10" ht="38.25" customHeight="1" x14ac:dyDescent="0.2">
      <c r="A36" s="1207" t="s">
        <v>377</v>
      </c>
      <c r="B36" s="1207"/>
      <c r="C36" s="1207"/>
      <c r="D36" s="1207"/>
      <c r="E36" s="1207"/>
      <c r="F36" s="1207"/>
      <c r="G36" s="1207"/>
      <c r="H36" s="1207"/>
    </row>
    <row r="37" spans="1:10" ht="15.75" x14ac:dyDescent="0.2">
      <c r="A37" s="731"/>
    </row>
    <row r="38" spans="1:10" ht="15.75" x14ac:dyDescent="0.2">
      <c r="A38" s="731"/>
    </row>
    <row r="39" spans="1:10" ht="15.75" x14ac:dyDescent="0.2">
      <c r="A39" s="731"/>
    </row>
    <row r="40" spans="1:10" ht="15.75" x14ac:dyDescent="0.2">
      <c r="A40" s="731"/>
    </row>
    <row r="41" spans="1:10" ht="15.75" x14ac:dyDescent="0.2">
      <c r="A41" s="731"/>
    </row>
    <row r="42" spans="1:10" ht="15.75" x14ac:dyDescent="0.2">
      <c r="A42" s="731"/>
    </row>
    <row r="43" spans="1:10" ht="15.75" x14ac:dyDescent="0.2">
      <c r="A43" s="731"/>
    </row>
    <row r="44" spans="1:10" ht="15.75" x14ac:dyDescent="0.2">
      <c r="A44" s="731"/>
    </row>
    <row r="45" spans="1:10" ht="15.75" x14ac:dyDescent="0.2">
      <c r="A45" s="731"/>
    </row>
    <row r="447" spans="1:1" x14ac:dyDescent="0.2">
      <c r="A447" s="732"/>
    </row>
  </sheetData>
  <mergeCells count="6">
    <mergeCell ref="A36:H36"/>
    <mergeCell ref="B7:C7"/>
    <mergeCell ref="A7:A8"/>
    <mergeCell ref="D7:F7"/>
    <mergeCell ref="G7:G8"/>
    <mergeCell ref="H7:H8"/>
  </mergeCells>
  <phoneticPr fontId="8" type="noConversion"/>
  <printOptions horizontalCentered="1"/>
  <pageMargins left="0.59055118110236227" right="0.59055118110236227" top="0.78740157480314965" bottom="0.78740157480314965" header="0.59055118110236227" footer="0.59055118110236227"/>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31"/>
  <sheetViews>
    <sheetView zoomScaleNormal="100" workbookViewId="0"/>
  </sheetViews>
  <sheetFormatPr defaultRowHeight="12.75" x14ac:dyDescent="0.2"/>
  <cols>
    <col min="1" max="1" width="7.7109375" style="1" customWidth="1"/>
    <col min="2" max="2" width="6.7109375" style="1" customWidth="1"/>
    <col min="3" max="3" width="40.710937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4" width="9.7109375" style="5" customWidth="1"/>
    <col min="15" max="15" width="9.42578125" style="1" customWidth="1"/>
    <col min="16" max="257" width="9.140625" style="1"/>
    <col min="258" max="258" width="6.7109375" style="1" customWidth="1"/>
    <col min="259" max="259" width="41.5703125" style="1" customWidth="1"/>
    <col min="260" max="267" width="14.7109375" style="1" customWidth="1"/>
    <col min="268" max="268" width="16.7109375" style="1" customWidth="1"/>
    <col min="269" max="270" width="7.42578125" style="1" customWidth="1"/>
    <col min="271" max="513" width="9.140625" style="1"/>
    <col min="514" max="514" width="6.7109375" style="1" customWidth="1"/>
    <col min="515" max="515" width="41.5703125" style="1" customWidth="1"/>
    <col min="516" max="523" width="14.7109375" style="1" customWidth="1"/>
    <col min="524" max="524" width="16.7109375" style="1" customWidth="1"/>
    <col min="525" max="526" width="7.42578125" style="1" customWidth="1"/>
    <col min="527" max="769" width="9.140625" style="1"/>
    <col min="770" max="770" width="6.7109375" style="1" customWidth="1"/>
    <col min="771" max="771" width="41.5703125" style="1" customWidth="1"/>
    <col min="772" max="779" width="14.7109375" style="1" customWidth="1"/>
    <col min="780" max="780" width="16.7109375" style="1" customWidth="1"/>
    <col min="781" max="782" width="7.42578125" style="1" customWidth="1"/>
    <col min="783" max="1025" width="9.140625" style="1"/>
    <col min="1026" max="1026" width="6.7109375" style="1" customWidth="1"/>
    <col min="1027" max="1027" width="41.5703125" style="1" customWidth="1"/>
    <col min="1028" max="1035" width="14.7109375" style="1" customWidth="1"/>
    <col min="1036" max="1036" width="16.7109375" style="1" customWidth="1"/>
    <col min="1037" max="1038" width="7.42578125" style="1" customWidth="1"/>
    <col min="1039" max="1281" width="9.140625" style="1"/>
    <col min="1282" max="1282" width="6.7109375" style="1" customWidth="1"/>
    <col min="1283" max="1283" width="41.5703125" style="1" customWidth="1"/>
    <col min="1284" max="1291" width="14.7109375" style="1" customWidth="1"/>
    <col min="1292" max="1292" width="16.7109375" style="1" customWidth="1"/>
    <col min="1293" max="1294" width="7.42578125" style="1" customWidth="1"/>
    <col min="1295" max="1537" width="9.140625" style="1"/>
    <col min="1538" max="1538" width="6.7109375" style="1" customWidth="1"/>
    <col min="1539" max="1539" width="41.5703125" style="1" customWidth="1"/>
    <col min="1540" max="1547" width="14.7109375" style="1" customWidth="1"/>
    <col min="1548" max="1548" width="16.7109375" style="1" customWidth="1"/>
    <col min="1549" max="1550" width="7.42578125" style="1" customWidth="1"/>
    <col min="1551" max="1793" width="9.140625" style="1"/>
    <col min="1794" max="1794" width="6.7109375" style="1" customWidth="1"/>
    <col min="1795" max="1795" width="41.5703125" style="1" customWidth="1"/>
    <col min="1796" max="1803" width="14.7109375" style="1" customWidth="1"/>
    <col min="1804" max="1804" width="16.7109375" style="1" customWidth="1"/>
    <col min="1805" max="1806" width="7.42578125" style="1" customWidth="1"/>
    <col min="1807" max="2049" width="9.140625" style="1"/>
    <col min="2050" max="2050" width="6.7109375" style="1" customWidth="1"/>
    <col min="2051" max="2051" width="41.5703125" style="1" customWidth="1"/>
    <col min="2052" max="2059" width="14.7109375" style="1" customWidth="1"/>
    <col min="2060" max="2060" width="16.7109375" style="1" customWidth="1"/>
    <col min="2061" max="2062" width="7.42578125" style="1" customWidth="1"/>
    <col min="2063" max="2305" width="9.140625" style="1"/>
    <col min="2306" max="2306" width="6.7109375" style="1" customWidth="1"/>
    <col min="2307" max="2307" width="41.5703125" style="1" customWidth="1"/>
    <col min="2308" max="2315" width="14.7109375" style="1" customWidth="1"/>
    <col min="2316" max="2316" width="16.7109375" style="1" customWidth="1"/>
    <col min="2317" max="2318" width="7.42578125" style="1" customWidth="1"/>
    <col min="2319" max="2561" width="9.140625" style="1"/>
    <col min="2562" max="2562" width="6.7109375" style="1" customWidth="1"/>
    <col min="2563" max="2563" width="41.5703125" style="1" customWidth="1"/>
    <col min="2564" max="2571" width="14.7109375" style="1" customWidth="1"/>
    <col min="2572" max="2572" width="16.7109375" style="1" customWidth="1"/>
    <col min="2573" max="2574" width="7.42578125" style="1" customWidth="1"/>
    <col min="2575" max="2817" width="9.140625" style="1"/>
    <col min="2818" max="2818" width="6.7109375" style="1" customWidth="1"/>
    <col min="2819" max="2819" width="41.5703125" style="1" customWidth="1"/>
    <col min="2820" max="2827" width="14.7109375" style="1" customWidth="1"/>
    <col min="2828" max="2828" width="16.7109375" style="1" customWidth="1"/>
    <col min="2829" max="2830" width="7.42578125" style="1" customWidth="1"/>
    <col min="2831" max="3073" width="9.140625" style="1"/>
    <col min="3074" max="3074" width="6.7109375" style="1" customWidth="1"/>
    <col min="3075" max="3075" width="41.5703125" style="1" customWidth="1"/>
    <col min="3076" max="3083" width="14.7109375" style="1" customWidth="1"/>
    <col min="3084" max="3084" width="16.7109375" style="1" customWidth="1"/>
    <col min="3085" max="3086" width="7.42578125" style="1" customWidth="1"/>
    <col min="3087" max="3329" width="9.140625" style="1"/>
    <col min="3330" max="3330" width="6.7109375" style="1" customWidth="1"/>
    <col min="3331" max="3331" width="41.5703125" style="1" customWidth="1"/>
    <col min="3332" max="3339" width="14.7109375" style="1" customWidth="1"/>
    <col min="3340" max="3340" width="16.7109375" style="1" customWidth="1"/>
    <col min="3341" max="3342" width="7.42578125" style="1" customWidth="1"/>
    <col min="3343" max="3585" width="9.140625" style="1"/>
    <col min="3586" max="3586" width="6.7109375" style="1" customWidth="1"/>
    <col min="3587" max="3587" width="41.5703125" style="1" customWidth="1"/>
    <col min="3588" max="3595" width="14.7109375" style="1" customWidth="1"/>
    <col min="3596" max="3596" width="16.7109375" style="1" customWidth="1"/>
    <col min="3597" max="3598" width="7.42578125" style="1" customWidth="1"/>
    <col min="3599" max="3841" width="9.140625" style="1"/>
    <col min="3842" max="3842" width="6.7109375" style="1" customWidth="1"/>
    <col min="3843" max="3843" width="41.5703125" style="1" customWidth="1"/>
    <col min="3844" max="3851" width="14.7109375" style="1" customWidth="1"/>
    <col min="3852" max="3852" width="16.7109375" style="1" customWidth="1"/>
    <col min="3853" max="3854" width="7.42578125" style="1" customWidth="1"/>
    <col min="3855" max="4097" width="9.140625" style="1"/>
    <col min="4098" max="4098" width="6.7109375" style="1" customWidth="1"/>
    <col min="4099" max="4099" width="41.5703125" style="1" customWidth="1"/>
    <col min="4100" max="4107" width="14.7109375" style="1" customWidth="1"/>
    <col min="4108" max="4108" width="16.7109375" style="1" customWidth="1"/>
    <col min="4109" max="4110" width="7.42578125" style="1" customWidth="1"/>
    <col min="4111" max="4353" width="9.140625" style="1"/>
    <col min="4354" max="4354" width="6.7109375" style="1" customWidth="1"/>
    <col min="4355" max="4355" width="41.5703125" style="1" customWidth="1"/>
    <col min="4356" max="4363" width="14.7109375" style="1" customWidth="1"/>
    <col min="4364" max="4364" width="16.7109375" style="1" customWidth="1"/>
    <col min="4365" max="4366" width="7.42578125" style="1" customWidth="1"/>
    <col min="4367" max="4609" width="9.140625" style="1"/>
    <col min="4610" max="4610" width="6.7109375" style="1" customWidth="1"/>
    <col min="4611" max="4611" width="41.5703125" style="1" customWidth="1"/>
    <col min="4612" max="4619" width="14.7109375" style="1" customWidth="1"/>
    <col min="4620" max="4620" width="16.7109375" style="1" customWidth="1"/>
    <col min="4621" max="4622" width="7.42578125" style="1" customWidth="1"/>
    <col min="4623" max="4865" width="9.140625" style="1"/>
    <col min="4866" max="4866" width="6.7109375" style="1" customWidth="1"/>
    <col min="4867" max="4867" width="41.5703125" style="1" customWidth="1"/>
    <col min="4868" max="4875" width="14.7109375" style="1" customWidth="1"/>
    <col min="4876" max="4876" width="16.7109375" style="1" customWidth="1"/>
    <col min="4877" max="4878" width="7.42578125" style="1" customWidth="1"/>
    <col min="4879" max="5121" width="9.140625" style="1"/>
    <col min="5122" max="5122" width="6.7109375" style="1" customWidth="1"/>
    <col min="5123" max="5123" width="41.5703125" style="1" customWidth="1"/>
    <col min="5124" max="5131" width="14.7109375" style="1" customWidth="1"/>
    <col min="5132" max="5132" width="16.7109375" style="1" customWidth="1"/>
    <col min="5133" max="5134" width="7.42578125" style="1" customWidth="1"/>
    <col min="5135" max="5377" width="9.140625" style="1"/>
    <col min="5378" max="5378" width="6.7109375" style="1" customWidth="1"/>
    <col min="5379" max="5379" width="41.5703125" style="1" customWidth="1"/>
    <col min="5380" max="5387" width="14.7109375" style="1" customWidth="1"/>
    <col min="5388" max="5388" width="16.7109375" style="1" customWidth="1"/>
    <col min="5389" max="5390" width="7.42578125" style="1" customWidth="1"/>
    <col min="5391" max="5633" width="9.140625" style="1"/>
    <col min="5634" max="5634" width="6.7109375" style="1" customWidth="1"/>
    <col min="5635" max="5635" width="41.5703125" style="1" customWidth="1"/>
    <col min="5636" max="5643" width="14.7109375" style="1" customWidth="1"/>
    <col min="5644" max="5644" width="16.7109375" style="1" customWidth="1"/>
    <col min="5645" max="5646" width="7.42578125" style="1" customWidth="1"/>
    <col min="5647" max="5889" width="9.140625" style="1"/>
    <col min="5890" max="5890" width="6.7109375" style="1" customWidth="1"/>
    <col min="5891" max="5891" width="41.5703125" style="1" customWidth="1"/>
    <col min="5892" max="5899" width="14.7109375" style="1" customWidth="1"/>
    <col min="5900" max="5900" width="16.7109375" style="1" customWidth="1"/>
    <col min="5901" max="5902" width="7.42578125" style="1" customWidth="1"/>
    <col min="5903" max="6145" width="9.140625" style="1"/>
    <col min="6146" max="6146" width="6.7109375" style="1" customWidth="1"/>
    <col min="6147" max="6147" width="41.5703125" style="1" customWidth="1"/>
    <col min="6148" max="6155" width="14.7109375" style="1" customWidth="1"/>
    <col min="6156" max="6156" width="16.7109375" style="1" customWidth="1"/>
    <col min="6157" max="6158" width="7.42578125" style="1" customWidth="1"/>
    <col min="6159" max="6401" width="9.140625" style="1"/>
    <col min="6402" max="6402" width="6.7109375" style="1" customWidth="1"/>
    <col min="6403" max="6403" width="41.5703125" style="1" customWidth="1"/>
    <col min="6404" max="6411" width="14.7109375" style="1" customWidth="1"/>
    <col min="6412" max="6412" width="16.7109375" style="1" customWidth="1"/>
    <col min="6413" max="6414" width="7.42578125" style="1" customWidth="1"/>
    <col min="6415" max="6657" width="9.140625" style="1"/>
    <col min="6658" max="6658" width="6.7109375" style="1" customWidth="1"/>
    <col min="6659" max="6659" width="41.5703125" style="1" customWidth="1"/>
    <col min="6660" max="6667" width="14.7109375" style="1" customWidth="1"/>
    <col min="6668" max="6668" width="16.7109375" style="1" customWidth="1"/>
    <col min="6669" max="6670" width="7.42578125" style="1" customWidth="1"/>
    <col min="6671" max="6913" width="9.140625" style="1"/>
    <col min="6914" max="6914" width="6.7109375" style="1" customWidth="1"/>
    <col min="6915" max="6915" width="41.5703125" style="1" customWidth="1"/>
    <col min="6916" max="6923" width="14.7109375" style="1" customWidth="1"/>
    <col min="6924" max="6924" width="16.7109375" style="1" customWidth="1"/>
    <col min="6925" max="6926" width="7.42578125" style="1" customWidth="1"/>
    <col min="6927" max="7169" width="9.140625" style="1"/>
    <col min="7170" max="7170" width="6.7109375" style="1" customWidth="1"/>
    <col min="7171" max="7171" width="41.5703125" style="1" customWidth="1"/>
    <col min="7172" max="7179" width="14.7109375" style="1" customWidth="1"/>
    <col min="7180" max="7180" width="16.7109375" style="1" customWidth="1"/>
    <col min="7181" max="7182" width="7.42578125" style="1" customWidth="1"/>
    <col min="7183" max="7425" width="9.140625" style="1"/>
    <col min="7426" max="7426" width="6.7109375" style="1" customWidth="1"/>
    <col min="7427" max="7427" width="41.5703125" style="1" customWidth="1"/>
    <col min="7428" max="7435" width="14.7109375" style="1" customWidth="1"/>
    <col min="7436" max="7436" width="16.7109375" style="1" customWidth="1"/>
    <col min="7437" max="7438" width="7.42578125" style="1" customWidth="1"/>
    <col min="7439" max="7681" width="9.140625" style="1"/>
    <col min="7682" max="7682" width="6.7109375" style="1" customWidth="1"/>
    <col min="7683" max="7683" width="41.5703125" style="1" customWidth="1"/>
    <col min="7684" max="7691" width="14.7109375" style="1" customWidth="1"/>
    <col min="7692" max="7692" width="16.7109375" style="1" customWidth="1"/>
    <col min="7693" max="7694" width="7.42578125" style="1" customWidth="1"/>
    <col min="7695" max="7937" width="9.140625" style="1"/>
    <col min="7938" max="7938" width="6.7109375" style="1" customWidth="1"/>
    <col min="7939" max="7939" width="41.5703125" style="1" customWidth="1"/>
    <col min="7940" max="7947" width="14.7109375" style="1" customWidth="1"/>
    <col min="7948" max="7948" width="16.7109375" style="1" customWidth="1"/>
    <col min="7949" max="7950" width="7.42578125" style="1" customWidth="1"/>
    <col min="7951" max="8193" width="9.140625" style="1"/>
    <col min="8194" max="8194" width="6.7109375" style="1" customWidth="1"/>
    <col min="8195" max="8195" width="41.5703125" style="1" customWidth="1"/>
    <col min="8196" max="8203" width="14.7109375" style="1" customWidth="1"/>
    <col min="8204" max="8204" width="16.7109375" style="1" customWidth="1"/>
    <col min="8205" max="8206" width="7.42578125" style="1" customWidth="1"/>
    <col min="8207" max="8449" width="9.140625" style="1"/>
    <col min="8450" max="8450" width="6.7109375" style="1" customWidth="1"/>
    <col min="8451" max="8451" width="41.5703125" style="1" customWidth="1"/>
    <col min="8452" max="8459" width="14.7109375" style="1" customWidth="1"/>
    <col min="8460" max="8460" width="16.7109375" style="1" customWidth="1"/>
    <col min="8461" max="8462" width="7.42578125" style="1" customWidth="1"/>
    <col min="8463" max="8705" width="9.140625" style="1"/>
    <col min="8706" max="8706" width="6.7109375" style="1" customWidth="1"/>
    <col min="8707" max="8707" width="41.5703125" style="1" customWidth="1"/>
    <col min="8708" max="8715" width="14.7109375" style="1" customWidth="1"/>
    <col min="8716" max="8716" width="16.7109375" style="1" customWidth="1"/>
    <col min="8717" max="8718" width="7.42578125" style="1" customWidth="1"/>
    <col min="8719" max="8961" width="9.140625" style="1"/>
    <col min="8962" max="8962" width="6.7109375" style="1" customWidth="1"/>
    <col min="8963" max="8963" width="41.5703125" style="1" customWidth="1"/>
    <col min="8964" max="8971" width="14.7109375" style="1" customWidth="1"/>
    <col min="8972" max="8972" width="16.7109375" style="1" customWidth="1"/>
    <col min="8973" max="8974" width="7.42578125" style="1" customWidth="1"/>
    <col min="8975" max="9217" width="9.140625" style="1"/>
    <col min="9218" max="9218" width="6.7109375" style="1" customWidth="1"/>
    <col min="9219" max="9219" width="41.5703125" style="1" customWidth="1"/>
    <col min="9220" max="9227" width="14.7109375" style="1" customWidth="1"/>
    <col min="9228" max="9228" width="16.7109375" style="1" customWidth="1"/>
    <col min="9229" max="9230" width="7.42578125" style="1" customWidth="1"/>
    <col min="9231" max="9473" width="9.140625" style="1"/>
    <col min="9474" max="9474" width="6.7109375" style="1" customWidth="1"/>
    <col min="9475" max="9475" width="41.5703125" style="1" customWidth="1"/>
    <col min="9476" max="9483" width="14.7109375" style="1" customWidth="1"/>
    <col min="9484" max="9484" width="16.7109375" style="1" customWidth="1"/>
    <col min="9485" max="9486" width="7.42578125" style="1" customWidth="1"/>
    <col min="9487" max="9729" width="9.140625" style="1"/>
    <col min="9730" max="9730" width="6.7109375" style="1" customWidth="1"/>
    <col min="9731" max="9731" width="41.5703125" style="1" customWidth="1"/>
    <col min="9732" max="9739" width="14.7109375" style="1" customWidth="1"/>
    <col min="9740" max="9740" width="16.7109375" style="1" customWidth="1"/>
    <col min="9741" max="9742" width="7.42578125" style="1" customWidth="1"/>
    <col min="9743" max="9985" width="9.140625" style="1"/>
    <col min="9986" max="9986" width="6.7109375" style="1" customWidth="1"/>
    <col min="9987" max="9987" width="41.5703125" style="1" customWidth="1"/>
    <col min="9988" max="9995" width="14.7109375" style="1" customWidth="1"/>
    <col min="9996" max="9996" width="16.7109375" style="1" customWidth="1"/>
    <col min="9997" max="9998" width="7.42578125" style="1" customWidth="1"/>
    <col min="9999" max="10241" width="9.140625" style="1"/>
    <col min="10242" max="10242" width="6.7109375" style="1" customWidth="1"/>
    <col min="10243" max="10243" width="41.5703125" style="1" customWidth="1"/>
    <col min="10244" max="10251" width="14.7109375" style="1" customWidth="1"/>
    <col min="10252" max="10252" width="16.7109375" style="1" customWidth="1"/>
    <col min="10253" max="10254" width="7.42578125" style="1" customWidth="1"/>
    <col min="10255" max="10497" width="9.140625" style="1"/>
    <col min="10498" max="10498" width="6.7109375" style="1" customWidth="1"/>
    <col min="10499" max="10499" width="41.5703125" style="1" customWidth="1"/>
    <col min="10500" max="10507" width="14.7109375" style="1" customWidth="1"/>
    <col min="10508" max="10508" width="16.7109375" style="1" customWidth="1"/>
    <col min="10509" max="10510" width="7.42578125" style="1" customWidth="1"/>
    <col min="10511" max="10753" width="9.140625" style="1"/>
    <col min="10754" max="10754" width="6.7109375" style="1" customWidth="1"/>
    <col min="10755" max="10755" width="41.5703125" style="1" customWidth="1"/>
    <col min="10756" max="10763" width="14.7109375" style="1" customWidth="1"/>
    <col min="10764" max="10764" width="16.7109375" style="1" customWidth="1"/>
    <col min="10765" max="10766" width="7.42578125" style="1" customWidth="1"/>
    <col min="10767" max="11009" width="9.140625" style="1"/>
    <col min="11010" max="11010" width="6.7109375" style="1" customWidth="1"/>
    <col min="11011" max="11011" width="41.5703125" style="1" customWidth="1"/>
    <col min="11012" max="11019" width="14.7109375" style="1" customWidth="1"/>
    <col min="11020" max="11020" width="16.7109375" style="1" customWidth="1"/>
    <col min="11021" max="11022" width="7.42578125" style="1" customWidth="1"/>
    <col min="11023" max="11265" width="9.140625" style="1"/>
    <col min="11266" max="11266" width="6.7109375" style="1" customWidth="1"/>
    <col min="11267" max="11267" width="41.5703125" style="1" customWidth="1"/>
    <col min="11268" max="11275" width="14.7109375" style="1" customWidth="1"/>
    <col min="11276" max="11276" width="16.7109375" style="1" customWidth="1"/>
    <col min="11277" max="11278" width="7.42578125" style="1" customWidth="1"/>
    <col min="11279" max="11521" width="9.140625" style="1"/>
    <col min="11522" max="11522" width="6.7109375" style="1" customWidth="1"/>
    <col min="11523" max="11523" width="41.5703125" style="1" customWidth="1"/>
    <col min="11524" max="11531" width="14.7109375" style="1" customWidth="1"/>
    <col min="11532" max="11532" width="16.7109375" style="1" customWidth="1"/>
    <col min="11533" max="11534" width="7.42578125" style="1" customWidth="1"/>
    <col min="11535" max="11777" width="9.140625" style="1"/>
    <col min="11778" max="11778" width="6.7109375" style="1" customWidth="1"/>
    <col min="11779" max="11779" width="41.5703125" style="1" customWidth="1"/>
    <col min="11780" max="11787" width="14.7109375" style="1" customWidth="1"/>
    <col min="11788" max="11788" width="16.7109375" style="1" customWidth="1"/>
    <col min="11789" max="11790" width="7.42578125" style="1" customWidth="1"/>
    <col min="11791" max="12033" width="9.140625" style="1"/>
    <col min="12034" max="12034" width="6.7109375" style="1" customWidth="1"/>
    <col min="12035" max="12035" width="41.5703125" style="1" customWidth="1"/>
    <col min="12036" max="12043" width="14.7109375" style="1" customWidth="1"/>
    <col min="12044" max="12044" width="16.7109375" style="1" customWidth="1"/>
    <col min="12045" max="12046" width="7.42578125" style="1" customWidth="1"/>
    <col min="12047" max="12289" width="9.140625" style="1"/>
    <col min="12290" max="12290" width="6.7109375" style="1" customWidth="1"/>
    <col min="12291" max="12291" width="41.5703125" style="1" customWidth="1"/>
    <col min="12292" max="12299" width="14.7109375" style="1" customWidth="1"/>
    <col min="12300" max="12300" width="16.7109375" style="1" customWidth="1"/>
    <col min="12301" max="12302" width="7.42578125" style="1" customWidth="1"/>
    <col min="12303" max="12545" width="9.140625" style="1"/>
    <col min="12546" max="12546" width="6.7109375" style="1" customWidth="1"/>
    <col min="12547" max="12547" width="41.5703125" style="1" customWidth="1"/>
    <col min="12548" max="12555" width="14.7109375" style="1" customWidth="1"/>
    <col min="12556" max="12556" width="16.7109375" style="1" customWidth="1"/>
    <col min="12557" max="12558" width="7.42578125" style="1" customWidth="1"/>
    <col min="12559" max="12801" width="9.140625" style="1"/>
    <col min="12802" max="12802" width="6.7109375" style="1" customWidth="1"/>
    <col min="12803" max="12803" width="41.5703125" style="1" customWidth="1"/>
    <col min="12804" max="12811" width="14.7109375" style="1" customWidth="1"/>
    <col min="12812" max="12812" width="16.7109375" style="1" customWidth="1"/>
    <col min="12813" max="12814" width="7.42578125" style="1" customWidth="1"/>
    <col min="12815" max="13057" width="9.140625" style="1"/>
    <col min="13058" max="13058" width="6.7109375" style="1" customWidth="1"/>
    <col min="13059" max="13059" width="41.5703125" style="1" customWidth="1"/>
    <col min="13060" max="13067" width="14.7109375" style="1" customWidth="1"/>
    <col min="13068" max="13068" width="16.7109375" style="1" customWidth="1"/>
    <col min="13069" max="13070" width="7.42578125" style="1" customWidth="1"/>
    <col min="13071" max="13313" width="9.140625" style="1"/>
    <col min="13314" max="13314" width="6.7109375" style="1" customWidth="1"/>
    <col min="13315" max="13315" width="41.5703125" style="1" customWidth="1"/>
    <col min="13316" max="13323" width="14.7109375" style="1" customWidth="1"/>
    <col min="13324" max="13324" width="16.7109375" style="1" customWidth="1"/>
    <col min="13325" max="13326" width="7.42578125" style="1" customWidth="1"/>
    <col min="13327" max="13569" width="9.140625" style="1"/>
    <col min="13570" max="13570" width="6.7109375" style="1" customWidth="1"/>
    <col min="13571" max="13571" width="41.5703125" style="1" customWidth="1"/>
    <col min="13572" max="13579" width="14.7109375" style="1" customWidth="1"/>
    <col min="13580" max="13580" width="16.7109375" style="1" customWidth="1"/>
    <col min="13581" max="13582" width="7.42578125" style="1" customWidth="1"/>
    <col min="13583" max="13825" width="9.140625" style="1"/>
    <col min="13826" max="13826" width="6.7109375" style="1" customWidth="1"/>
    <col min="13827" max="13827" width="41.5703125" style="1" customWidth="1"/>
    <col min="13828" max="13835" width="14.7109375" style="1" customWidth="1"/>
    <col min="13836" max="13836" width="16.7109375" style="1" customWidth="1"/>
    <col min="13837" max="13838" width="7.42578125" style="1" customWidth="1"/>
    <col min="13839" max="14081" width="9.140625" style="1"/>
    <col min="14082" max="14082" width="6.7109375" style="1" customWidth="1"/>
    <col min="14083" max="14083" width="41.5703125" style="1" customWidth="1"/>
    <col min="14084" max="14091" width="14.7109375" style="1" customWidth="1"/>
    <col min="14092" max="14092" width="16.7109375" style="1" customWidth="1"/>
    <col min="14093" max="14094" width="7.42578125" style="1" customWidth="1"/>
    <col min="14095" max="14337" width="9.140625" style="1"/>
    <col min="14338" max="14338" width="6.7109375" style="1" customWidth="1"/>
    <col min="14339" max="14339" width="41.5703125" style="1" customWidth="1"/>
    <col min="14340" max="14347" width="14.7109375" style="1" customWidth="1"/>
    <col min="14348" max="14348" width="16.7109375" style="1" customWidth="1"/>
    <col min="14349" max="14350" width="7.42578125" style="1" customWidth="1"/>
    <col min="14351" max="14593" width="9.140625" style="1"/>
    <col min="14594" max="14594" width="6.7109375" style="1" customWidth="1"/>
    <col min="14595" max="14595" width="41.5703125" style="1" customWidth="1"/>
    <col min="14596" max="14603" width="14.7109375" style="1" customWidth="1"/>
    <col min="14604" max="14604" width="16.7109375" style="1" customWidth="1"/>
    <col min="14605" max="14606" width="7.42578125" style="1" customWidth="1"/>
    <col min="14607" max="14849" width="9.140625" style="1"/>
    <col min="14850" max="14850" width="6.7109375" style="1" customWidth="1"/>
    <col min="14851" max="14851" width="41.5703125" style="1" customWidth="1"/>
    <col min="14852" max="14859" width="14.7109375" style="1" customWidth="1"/>
    <col min="14860" max="14860" width="16.7109375" style="1" customWidth="1"/>
    <col min="14861" max="14862" width="7.42578125" style="1" customWidth="1"/>
    <col min="14863" max="15105" width="9.140625" style="1"/>
    <col min="15106" max="15106" width="6.7109375" style="1" customWidth="1"/>
    <col min="15107" max="15107" width="41.5703125" style="1" customWidth="1"/>
    <col min="15108" max="15115" width="14.7109375" style="1" customWidth="1"/>
    <col min="15116" max="15116" width="16.7109375" style="1" customWidth="1"/>
    <col min="15117" max="15118" width="7.42578125" style="1" customWidth="1"/>
    <col min="15119" max="15361" width="9.140625" style="1"/>
    <col min="15362" max="15362" width="6.7109375" style="1" customWidth="1"/>
    <col min="15363" max="15363" width="41.5703125" style="1" customWidth="1"/>
    <col min="15364" max="15371" width="14.7109375" style="1" customWidth="1"/>
    <col min="15372" max="15372" width="16.7109375" style="1" customWidth="1"/>
    <col min="15373" max="15374" width="7.42578125" style="1" customWidth="1"/>
    <col min="15375" max="15617" width="9.140625" style="1"/>
    <col min="15618" max="15618" width="6.7109375" style="1" customWidth="1"/>
    <col min="15619" max="15619" width="41.5703125" style="1" customWidth="1"/>
    <col min="15620" max="15627" width="14.7109375" style="1" customWidth="1"/>
    <col min="15628" max="15628" width="16.7109375" style="1" customWidth="1"/>
    <col min="15629" max="15630" width="7.42578125" style="1" customWidth="1"/>
    <col min="15631" max="15873" width="9.140625" style="1"/>
    <col min="15874" max="15874" width="6.7109375" style="1" customWidth="1"/>
    <col min="15875" max="15875" width="41.5703125" style="1" customWidth="1"/>
    <col min="15876" max="15883" width="14.7109375" style="1" customWidth="1"/>
    <col min="15884" max="15884" width="16.7109375" style="1" customWidth="1"/>
    <col min="15885" max="15886" width="7.42578125" style="1" customWidth="1"/>
    <col min="15887" max="16129" width="9.140625" style="1"/>
    <col min="16130" max="16130" width="6.7109375" style="1" customWidth="1"/>
    <col min="16131" max="16131" width="41.5703125" style="1" customWidth="1"/>
    <col min="16132" max="16139" width="14.7109375" style="1" customWidth="1"/>
    <col min="16140" max="16140" width="16.7109375" style="1" customWidth="1"/>
    <col min="16141" max="16142" width="7.42578125" style="1" customWidth="1"/>
    <col min="16143" max="16384" width="9.140625" style="1"/>
  </cols>
  <sheetData>
    <row r="1" spans="1:23" ht="15" customHeight="1" x14ac:dyDescent="0.25">
      <c r="N1" s="6"/>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row r="4" spans="1:23" ht="20.100000000000001" customHeight="1" x14ac:dyDescent="0.3">
      <c r="A4" s="7" t="s">
        <v>187</v>
      </c>
      <c r="M4" s="8"/>
    </row>
    <row r="5" spans="1:23" ht="15" customHeight="1" thickBot="1" x14ac:dyDescent="0.35">
      <c r="A5" s="7"/>
      <c r="N5" s="8" t="s">
        <v>0</v>
      </c>
    </row>
    <row r="6" spans="1:23" s="62" customFormat="1" ht="15.7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23"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23" s="9" customFormat="1" ht="20.100000000000001" customHeight="1" thickBot="1" x14ac:dyDescent="0.3">
      <c r="B8" s="10" t="s">
        <v>104</v>
      </c>
      <c r="C8" s="10"/>
      <c r="D8" s="11"/>
      <c r="E8" s="12"/>
      <c r="F8" s="14"/>
      <c r="G8" s="13"/>
      <c r="H8" s="13"/>
      <c r="I8" s="13"/>
      <c r="J8" s="13"/>
      <c r="K8" s="13"/>
      <c r="L8" s="13"/>
      <c r="M8" s="16"/>
      <c r="N8" s="16"/>
    </row>
    <row r="9" spans="1:23" ht="20.100000000000001" customHeight="1" x14ac:dyDescent="0.2">
      <c r="A9" s="509">
        <v>2115</v>
      </c>
      <c r="B9" s="1316" t="s">
        <v>559</v>
      </c>
      <c r="C9" s="1317"/>
      <c r="D9" s="515">
        <v>0</v>
      </c>
      <c r="E9" s="510">
        <v>0</v>
      </c>
      <c r="F9" s="515">
        <v>0</v>
      </c>
      <c r="G9" s="589">
        <v>25</v>
      </c>
      <c r="H9" s="591">
        <v>0</v>
      </c>
      <c r="I9" s="489">
        <v>0</v>
      </c>
      <c r="J9" s="1123">
        <v>0</v>
      </c>
      <c r="K9" s="1130">
        <v>0</v>
      </c>
      <c r="L9" s="904">
        <f>SUM(I9:K9)</f>
        <v>0</v>
      </c>
      <c r="M9" s="493" t="s">
        <v>60</v>
      </c>
      <c r="N9" s="459">
        <f>L9/G9*100</f>
        <v>0</v>
      </c>
      <c r="O9" s="17"/>
    </row>
    <row r="10" spans="1:23" ht="20.100000000000001" customHeight="1" x14ac:dyDescent="0.2">
      <c r="A10" s="668">
        <v>2143</v>
      </c>
      <c r="B10" s="1318" t="s">
        <v>188</v>
      </c>
      <c r="C10" s="1319"/>
      <c r="D10" s="593">
        <v>0</v>
      </c>
      <c r="E10" s="583">
        <v>1114.5</v>
      </c>
      <c r="F10" s="593">
        <v>1200</v>
      </c>
      <c r="G10" s="590">
        <v>1200</v>
      </c>
      <c r="H10" s="571">
        <v>122.51</v>
      </c>
      <c r="I10" s="1046">
        <v>0</v>
      </c>
      <c r="J10" s="666">
        <v>0</v>
      </c>
      <c r="K10" s="1131">
        <v>1500</v>
      </c>
      <c r="L10" s="1076">
        <f>SUM(I10:K10)</f>
        <v>1500</v>
      </c>
      <c r="M10" s="1051">
        <f t="shared" ref="M10" si="0">L10/F10*100</f>
        <v>125</v>
      </c>
      <c r="N10" s="469">
        <f>L10/G10*100</f>
        <v>125</v>
      </c>
      <c r="O10" s="17"/>
    </row>
    <row r="11" spans="1:23" ht="20.100000000000001" customHeight="1" x14ac:dyDescent="0.2">
      <c r="A11" s="1310">
        <v>2223</v>
      </c>
      <c r="B11" s="1320" t="s">
        <v>196</v>
      </c>
      <c r="C11" s="1321"/>
      <c r="D11" s="593">
        <v>0</v>
      </c>
      <c r="E11" s="583">
        <v>68</v>
      </c>
      <c r="F11" s="593">
        <f>+F12</f>
        <v>0</v>
      </c>
      <c r="G11" s="590">
        <v>510.12</v>
      </c>
      <c r="H11" s="571">
        <v>28.92</v>
      </c>
      <c r="I11" s="1046">
        <v>0</v>
      </c>
      <c r="J11" s="666">
        <v>0</v>
      </c>
      <c r="K11" s="1131">
        <v>0</v>
      </c>
      <c r="L11" s="1065">
        <f>SUM(I11:K11)</f>
        <v>0</v>
      </c>
      <c r="M11" s="505" t="s">
        <v>60</v>
      </c>
      <c r="N11" s="477">
        <f t="shared" ref="N11:N12" si="1">L11/G11*100</f>
        <v>0</v>
      </c>
      <c r="O11" s="17"/>
    </row>
    <row r="12" spans="1:23" ht="15" customHeight="1" x14ac:dyDescent="0.2">
      <c r="A12" s="1315"/>
      <c r="B12" s="874" t="s">
        <v>96</v>
      </c>
      <c r="C12" s="669" t="s">
        <v>139</v>
      </c>
      <c r="D12" s="94">
        <v>0</v>
      </c>
      <c r="E12" s="93">
        <v>68.02</v>
      </c>
      <c r="F12" s="94">
        <v>0</v>
      </c>
      <c r="G12" s="81">
        <v>510.12</v>
      </c>
      <c r="H12" s="95">
        <v>28.92</v>
      </c>
      <c r="I12" s="83">
        <v>0</v>
      </c>
      <c r="J12" s="906">
        <v>0</v>
      </c>
      <c r="K12" s="1124">
        <v>0</v>
      </c>
      <c r="L12" s="1071">
        <f t="shared" ref="L12" si="2">SUM(I12:K12)</f>
        <v>0</v>
      </c>
      <c r="M12" s="92" t="s">
        <v>60</v>
      </c>
      <c r="N12" s="79">
        <f t="shared" si="1"/>
        <v>0</v>
      </c>
      <c r="O12" s="17"/>
    </row>
    <row r="13" spans="1:23" s="65" customFormat="1" ht="29.25" customHeight="1" x14ac:dyDescent="0.25">
      <c r="A13" s="1310">
        <v>2510</v>
      </c>
      <c r="B13" s="1302" t="s">
        <v>203</v>
      </c>
      <c r="C13" s="1303"/>
      <c r="D13" s="530">
        <f>SUM(D14:D16)</f>
        <v>26185</v>
      </c>
      <c r="E13" s="490">
        <f>SUM(E14:E16)</f>
        <v>26585.68</v>
      </c>
      <c r="F13" s="530">
        <f>SUM(F14:F17)</f>
        <v>27520</v>
      </c>
      <c r="G13" s="536">
        <f t="shared" ref="G13:K13" si="3">SUM(G14:G17)</f>
        <v>27520</v>
      </c>
      <c r="H13" s="537">
        <f t="shared" si="3"/>
        <v>20639.55</v>
      </c>
      <c r="I13" s="530">
        <f t="shared" si="3"/>
        <v>25120</v>
      </c>
      <c r="J13" s="905">
        <f t="shared" si="3"/>
        <v>0</v>
      </c>
      <c r="K13" s="1125">
        <f t="shared" si="3"/>
        <v>3100</v>
      </c>
      <c r="L13" s="1065">
        <f>SUM(I13:K13)</f>
        <v>28220</v>
      </c>
      <c r="M13" s="505">
        <f t="shared" ref="M13:M16" si="4">L13/F13*100</f>
        <v>102.54360465116279</v>
      </c>
      <c r="N13" s="477">
        <f>L13/G13*100</f>
        <v>102.54360465116279</v>
      </c>
      <c r="O13" s="122"/>
      <c r="P13" s="122"/>
      <c r="Q13" s="122"/>
      <c r="R13" s="122"/>
      <c r="S13" s="122"/>
      <c r="T13" s="122"/>
      <c r="U13" s="122"/>
      <c r="V13" s="122"/>
      <c r="W13" s="122"/>
    </row>
    <row r="14" spans="1:23" s="63" customFormat="1" ht="15" customHeight="1" x14ac:dyDescent="0.2">
      <c r="A14" s="1311"/>
      <c r="B14" s="1312" t="s">
        <v>96</v>
      </c>
      <c r="C14" s="669" t="s">
        <v>138</v>
      </c>
      <c r="D14" s="94">
        <v>4321</v>
      </c>
      <c r="E14" s="93">
        <v>4321</v>
      </c>
      <c r="F14" s="94">
        <v>4955</v>
      </c>
      <c r="G14" s="81">
        <v>4530</v>
      </c>
      <c r="H14" s="95">
        <v>3450.62</v>
      </c>
      <c r="I14" s="1132">
        <v>4804</v>
      </c>
      <c r="J14" s="1104">
        <v>0</v>
      </c>
      <c r="K14" s="1124">
        <v>0</v>
      </c>
      <c r="L14" s="1071">
        <f>SUM(I14:K14)</f>
        <v>4804</v>
      </c>
      <c r="M14" s="92">
        <f t="shared" si="4"/>
        <v>96.952573158425835</v>
      </c>
      <c r="N14" s="79">
        <f t="shared" ref="N14:N29" si="5">L14/G14*100</f>
        <v>106.04856512141281</v>
      </c>
    </row>
    <row r="15" spans="1:23" s="63" customFormat="1" ht="15" customHeight="1" x14ac:dyDescent="0.2">
      <c r="A15" s="1311"/>
      <c r="B15" s="1313"/>
      <c r="C15" s="669" t="s">
        <v>401</v>
      </c>
      <c r="D15" s="94">
        <v>21737</v>
      </c>
      <c r="E15" s="93">
        <v>22137.68</v>
      </c>
      <c r="F15" s="94">
        <v>22438</v>
      </c>
      <c r="G15" s="81">
        <v>22513</v>
      </c>
      <c r="H15" s="95">
        <v>16875.37</v>
      </c>
      <c r="I15" s="83">
        <v>19992</v>
      </c>
      <c r="J15" s="906">
        <v>0</v>
      </c>
      <c r="K15" s="1124">
        <v>3100</v>
      </c>
      <c r="L15" s="1071">
        <f t="shared" ref="L15:L28" si="6">SUM(I15:K15)</f>
        <v>23092</v>
      </c>
      <c r="M15" s="92">
        <f t="shared" si="4"/>
        <v>102.91469827970407</v>
      </c>
      <c r="N15" s="79">
        <f t="shared" si="5"/>
        <v>102.57184737707104</v>
      </c>
    </row>
    <row r="16" spans="1:23" s="63" customFormat="1" ht="15" customHeight="1" x14ac:dyDescent="0.2">
      <c r="A16" s="1311"/>
      <c r="B16" s="1313"/>
      <c r="C16" s="669" t="s">
        <v>139</v>
      </c>
      <c r="D16" s="94">
        <v>127</v>
      </c>
      <c r="E16" s="93">
        <v>127</v>
      </c>
      <c r="F16" s="94">
        <v>127</v>
      </c>
      <c r="G16" s="81">
        <v>127</v>
      </c>
      <c r="H16" s="95">
        <v>94.81</v>
      </c>
      <c r="I16" s="83">
        <v>48</v>
      </c>
      <c r="J16" s="906">
        <v>0</v>
      </c>
      <c r="K16" s="1124">
        <v>0</v>
      </c>
      <c r="L16" s="1071">
        <f t="shared" ref="L16:L21" si="7">SUM(I16:K16)</f>
        <v>48</v>
      </c>
      <c r="M16" s="92">
        <f t="shared" si="4"/>
        <v>37.795275590551178</v>
      </c>
      <c r="N16" s="79">
        <f>L16/G16*100</f>
        <v>37.795275590551178</v>
      </c>
    </row>
    <row r="17" spans="1:15" s="63" customFormat="1" ht="15" customHeight="1" x14ac:dyDescent="0.2">
      <c r="A17" s="1315"/>
      <c r="B17" s="1314"/>
      <c r="C17" s="669" t="s">
        <v>453</v>
      </c>
      <c r="D17" s="1011" t="s">
        <v>60</v>
      </c>
      <c r="E17" s="82" t="s">
        <v>60</v>
      </c>
      <c r="F17" s="94">
        <v>0</v>
      </c>
      <c r="G17" s="81">
        <v>350</v>
      </c>
      <c r="H17" s="95">
        <v>218.75</v>
      </c>
      <c r="I17" s="83">
        <v>276</v>
      </c>
      <c r="J17" s="906">
        <v>0</v>
      </c>
      <c r="K17" s="1124">
        <v>0</v>
      </c>
      <c r="L17" s="1071">
        <f t="shared" si="7"/>
        <v>276</v>
      </c>
      <c r="M17" s="92" t="s">
        <v>60</v>
      </c>
      <c r="N17" s="79">
        <f>L17/G17*100</f>
        <v>78.857142857142861</v>
      </c>
    </row>
    <row r="18" spans="1:15" s="63" customFormat="1" ht="24.95" customHeight="1" x14ac:dyDescent="0.2">
      <c r="A18" s="507">
        <v>2510</v>
      </c>
      <c r="B18" s="1302" t="s">
        <v>194</v>
      </c>
      <c r="C18" s="1303"/>
      <c r="D18" s="530">
        <v>34444</v>
      </c>
      <c r="E18" s="490">
        <v>34444</v>
      </c>
      <c r="F18" s="530">
        <v>42922</v>
      </c>
      <c r="G18" s="536">
        <v>42922</v>
      </c>
      <c r="H18" s="537">
        <v>42922</v>
      </c>
      <c r="I18" s="530">
        <v>44381</v>
      </c>
      <c r="J18" s="905">
        <v>0</v>
      </c>
      <c r="K18" s="1125">
        <v>0</v>
      </c>
      <c r="L18" s="1065">
        <f t="shared" si="7"/>
        <v>44381</v>
      </c>
      <c r="M18" s="505">
        <f t="shared" ref="M18" si="8">L18/F18*100</f>
        <v>103.39918922696984</v>
      </c>
      <c r="N18" s="477">
        <f t="shared" ref="N18" si="9">L18/G18*100</f>
        <v>103.39918922696984</v>
      </c>
    </row>
    <row r="19" spans="1:15" s="63" customFormat="1" ht="20.100000000000001" customHeight="1" x14ac:dyDescent="0.2">
      <c r="A19" s="507">
        <v>2510</v>
      </c>
      <c r="B19" s="1302" t="s">
        <v>560</v>
      </c>
      <c r="C19" s="1303"/>
      <c r="D19" s="666">
        <v>0</v>
      </c>
      <c r="E19" s="583">
        <v>0</v>
      </c>
      <c r="F19" s="666">
        <v>0</v>
      </c>
      <c r="G19" s="590">
        <v>3708.59</v>
      </c>
      <c r="H19" s="571">
        <v>0</v>
      </c>
      <c r="I19" s="1046">
        <v>0</v>
      </c>
      <c r="J19" s="531">
        <v>0</v>
      </c>
      <c r="K19" s="1131">
        <v>0</v>
      </c>
      <c r="L19" s="1065">
        <f t="shared" si="7"/>
        <v>0</v>
      </c>
      <c r="M19" s="505" t="s">
        <v>60</v>
      </c>
      <c r="N19" s="477">
        <f t="shared" ref="N19:N27" si="10">L19/G19*100</f>
        <v>0</v>
      </c>
    </row>
    <row r="20" spans="1:15" s="63" customFormat="1" ht="30" customHeight="1" x14ac:dyDescent="0.2">
      <c r="A20" s="668">
        <v>3299</v>
      </c>
      <c r="B20" s="1302" t="s">
        <v>588</v>
      </c>
      <c r="C20" s="1303"/>
      <c r="D20" s="666">
        <v>0</v>
      </c>
      <c r="E20" s="583">
        <v>0</v>
      </c>
      <c r="F20" s="666">
        <v>0</v>
      </c>
      <c r="G20" s="590">
        <v>205.72</v>
      </c>
      <c r="H20" s="571">
        <v>205.72</v>
      </c>
      <c r="I20" s="1046">
        <v>0</v>
      </c>
      <c r="J20" s="531">
        <v>0</v>
      </c>
      <c r="K20" s="1131">
        <v>0</v>
      </c>
      <c r="L20" s="1065">
        <f t="shared" si="7"/>
        <v>0</v>
      </c>
      <c r="M20" s="505" t="s">
        <v>60</v>
      </c>
      <c r="N20" s="477">
        <f t="shared" si="10"/>
        <v>0</v>
      </c>
    </row>
    <row r="21" spans="1:15" s="63" customFormat="1" ht="20.100000000000001" customHeight="1" x14ac:dyDescent="0.2">
      <c r="A21" s="668">
        <v>3636</v>
      </c>
      <c r="B21" s="1302" t="s">
        <v>307</v>
      </c>
      <c r="C21" s="1303"/>
      <c r="D21" s="593">
        <v>3200</v>
      </c>
      <c r="E21" s="583">
        <v>0</v>
      </c>
      <c r="F21" s="593">
        <v>0</v>
      </c>
      <c r="G21" s="466">
        <v>0</v>
      </c>
      <c r="H21" s="571">
        <v>0</v>
      </c>
      <c r="I21" s="1046">
        <v>0</v>
      </c>
      <c r="J21" s="531">
        <v>0</v>
      </c>
      <c r="K21" s="1131">
        <v>0</v>
      </c>
      <c r="L21" s="1065">
        <f t="shared" si="7"/>
        <v>0</v>
      </c>
      <c r="M21" s="505" t="s">
        <v>60</v>
      </c>
      <c r="N21" s="477" t="s">
        <v>60</v>
      </c>
    </row>
    <row r="22" spans="1:15" s="63" customFormat="1" ht="31.5" customHeight="1" x14ac:dyDescent="0.2">
      <c r="A22" s="668">
        <v>3713</v>
      </c>
      <c r="B22" s="1302" t="s">
        <v>319</v>
      </c>
      <c r="C22" s="1303"/>
      <c r="D22" s="593">
        <v>0</v>
      </c>
      <c r="E22" s="583">
        <v>0</v>
      </c>
      <c r="F22" s="593">
        <v>260</v>
      </c>
      <c r="G22" s="466">
        <v>600</v>
      </c>
      <c r="H22" s="571">
        <v>0</v>
      </c>
      <c r="I22" s="1046">
        <v>0</v>
      </c>
      <c r="J22" s="531">
        <v>0</v>
      </c>
      <c r="K22" s="1131">
        <v>0</v>
      </c>
      <c r="L22" s="1065">
        <f t="shared" si="6"/>
        <v>0</v>
      </c>
      <c r="M22" s="505">
        <f t="shared" ref="M22:M27" si="11">L22/F22*100</f>
        <v>0</v>
      </c>
      <c r="N22" s="477">
        <f t="shared" si="10"/>
        <v>0</v>
      </c>
    </row>
    <row r="23" spans="1:15" s="63" customFormat="1" ht="31.5" customHeight="1" x14ac:dyDescent="0.2">
      <c r="A23" s="668">
        <v>3713</v>
      </c>
      <c r="B23" s="1302" t="s">
        <v>425</v>
      </c>
      <c r="C23" s="1303"/>
      <c r="D23" s="593">
        <v>300</v>
      </c>
      <c r="E23" s="583">
        <v>323.31</v>
      </c>
      <c r="F23" s="593">
        <v>0</v>
      </c>
      <c r="G23" s="466">
        <v>0</v>
      </c>
      <c r="H23" s="571">
        <v>0</v>
      </c>
      <c r="I23" s="1046">
        <v>0</v>
      </c>
      <c r="J23" s="531">
        <v>0</v>
      </c>
      <c r="K23" s="1131">
        <v>0</v>
      </c>
      <c r="L23" s="1065">
        <f>SUM(I23:K23)</f>
        <v>0</v>
      </c>
      <c r="M23" s="505" t="s">
        <v>60</v>
      </c>
      <c r="N23" s="477" t="s">
        <v>60</v>
      </c>
    </row>
    <row r="24" spans="1:15" s="63" customFormat="1" ht="20.100000000000001" customHeight="1" x14ac:dyDescent="0.2">
      <c r="A24" s="668">
        <v>3714</v>
      </c>
      <c r="B24" s="1302" t="s">
        <v>561</v>
      </c>
      <c r="C24" s="1303"/>
      <c r="D24" s="593">
        <v>0</v>
      </c>
      <c r="E24" s="583">
        <v>0</v>
      </c>
      <c r="F24" s="593">
        <v>0</v>
      </c>
      <c r="G24" s="466">
        <v>200</v>
      </c>
      <c r="H24" s="571">
        <v>0</v>
      </c>
      <c r="I24" s="1046">
        <v>0</v>
      </c>
      <c r="J24" s="531">
        <v>0</v>
      </c>
      <c r="K24" s="1131">
        <v>0</v>
      </c>
      <c r="L24" s="1065">
        <f>SUM(I24:K24)</f>
        <v>0</v>
      </c>
      <c r="M24" s="505" t="s">
        <v>60</v>
      </c>
      <c r="N24" s="477">
        <f t="shared" si="10"/>
        <v>0</v>
      </c>
    </row>
    <row r="25" spans="1:15" s="63" customFormat="1" ht="20.100000000000001" customHeight="1" x14ac:dyDescent="0.2">
      <c r="A25" s="668">
        <v>6172</v>
      </c>
      <c r="B25" s="1379" t="s">
        <v>451</v>
      </c>
      <c r="C25" s="1380"/>
      <c r="D25" s="593">
        <v>1452</v>
      </c>
      <c r="E25" s="583">
        <v>1875.5</v>
      </c>
      <c r="F25" s="593">
        <v>2250</v>
      </c>
      <c r="G25" s="466">
        <f>2340.75+20.33</f>
        <v>2361.08</v>
      </c>
      <c r="H25" s="571">
        <f>1161.6+16.09</f>
        <v>1177.6899999999998</v>
      </c>
      <c r="I25" s="1046">
        <v>2250</v>
      </c>
      <c r="J25" s="531">
        <v>0</v>
      </c>
      <c r="K25" s="1131">
        <v>0</v>
      </c>
      <c r="L25" s="1065">
        <f t="shared" si="6"/>
        <v>2250</v>
      </c>
      <c r="M25" s="505">
        <f t="shared" si="11"/>
        <v>100</v>
      </c>
      <c r="N25" s="477">
        <f t="shared" si="10"/>
        <v>95.295373303742366</v>
      </c>
    </row>
    <row r="26" spans="1:15" s="63" customFormat="1" ht="20.100000000000001" customHeight="1" x14ac:dyDescent="0.2">
      <c r="A26" s="668">
        <v>6172</v>
      </c>
      <c r="B26" s="1379" t="s">
        <v>562</v>
      </c>
      <c r="C26" s="1380"/>
      <c r="D26" s="593">
        <v>0</v>
      </c>
      <c r="E26" s="583">
        <v>0</v>
      </c>
      <c r="F26" s="593">
        <v>0</v>
      </c>
      <c r="G26" s="466">
        <v>1242.31</v>
      </c>
      <c r="H26" s="571">
        <v>65.34</v>
      </c>
      <c r="I26" s="1046">
        <v>0</v>
      </c>
      <c r="J26" s="531">
        <v>0</v>
      </c>
      <c r="K26" s="1131">
        <v>0</v>
      </c>
      <c r="L26" s="1065">
        <f t="shared" si="6"/>
        <v>0</v>
      </c>
      <c r="M26" s="505" t="s">
        <v>60</v>
      </c>
      <c r="N26" s="477">
        <f t="shared" si="10"/>
        <v>0</v>
      </c>
    </row>
    <row r="27" spans="1:15" s="63" customFormat="1" ht="20.100000000000001" customHeight="1" x14ac:dyDescent="0.2">
      <c r="A27" s="668">
        <v>6172</v>
      </c>
      <c r="B27" s="1302" t="s">
        <v>578</v>
      </c>
      <c r="C27" s="1303"/>
      <c r="D27" s="593">
        <v>249</v>
      </c>
      <c r="E27" s="583">
        <v>326.06</v>
      </c>
      <c r="F27" s="593">
        <v>100</v>
      </c>
      <c r="G27" s="466">
        <v>272.68</v>
      </c>
      <c r="H27" s="571">
        <v>150.30000000000001</v>
      </c>
      <c r="I27" s="1046">
        <v>0</v>
      </c>
      <c r="J27" s="531">
        <v>0</v>
      </c>
      <c r="K27" s="1131">
        <v>100</v>
      </c>
      <c r="L27" s="1065">
        <f t="shared" si="6"/>
        <v>100</v>
      </c>
      <c r="M27" s="505">
        <f t="shared" si="11"/>
        <v>100</v>
      </c>
      <c r="N27" s="477">
        <f t="shared" si="10"/>
        <v>36.67302332404283</v>
      </c>
    </row>
    <row r="28" spans="1:15" s="63" customFormat="1" ht="20.100000000000001" customHeight="1" thickBot="1" x14ac:dyDescent="0.25">
      <c r="A28" s="821">
        <v>6409</v>
      </c>
      <c r="B28" s="1320" t="s">
        <v>437</v>
      </c>
      <c r="C28" s="1321"/>
      <c r="D28" s="835">
        <v>0</v>
      </c>
      <c r="E28" s="719">
        <v>510.6</v>
      </c>
      <c r="F28" s="835">
        <v>0</v>
      </c>
      <c r="G28" s="586">
        <v>0</v>
      </c>
      <c r="H28" s="587">
        <v>0</v>
      </c>
      <c r="I28" s="1078">
        <v>0</v>
      </c>
      <c r="J28" s="1079">
        <v>0</v>
      </c>
      <c r="K28" s="1133">
        <v>0</v>
      </c>
      <c r="L28" s="1134">
        <f t="shared" si="6"/>
        <v>0</v>
      </c>
      <c r="M28" s="505" t="s">
        <v>60</v>
      </c>
      <c r="N28" s="477" t="s">
        <v>60</v>
      </c>
    </row>
    <row r="29" spans="1:15" s="19" customFormat="1" ht="20.100000000000001" customHeight="1" thickBot="1" x14ac:dyDescent="0.3">
      <c r="A29" s="182"/>
      <c r="B29" s="417" t="s">
        <v>85</v>
      </c>
      <c r="C29" s="677"/>
      <c r="D29" s="183">
        <f t="shared" ref="D29:L29" si="12">+D9+D10+D11+D13+SUM(D18:D28)</f>
        <v>65830</v>
      </c>
      <c r="E29" s="195">
        <f t="shared" si="12"/>
        <v>65247.649999999994</v>
      </c>
      <c r="F29" s="193">
        <f t="shared" si="12"/>
        <v>74252</v>
      </c>
      <c r="G29" s="185">
        <f t="shared" si="12"/>
        <v>80767.5</v>
      </c>
      <c r="H29" s="185">
        <f t="shared" si="12"/>
        <v>65312.03</v>
      </c>
      <c r="I29" s="183">
        <f t="shared" si="12"/>
        <v>71751</v>
      </c>
      <c r="J29" s="982">
        <f t="shared" si="12"/>
        <v>0</v>
      </c>
      <c r="K29" s="193">
        <f t="shared" si="12"/>
        <v>4700</v>
      </c>
      <c r="L29" s="1067">
        <f t="shared" si="12"/>
        <v>76451</v>
      </c>
      <c r="M29" s="194">
        <f>L29/F29*100</f>
        <v>102.9615363895922</v>
      </c>
      <c r="N29" s="187">
        <f t="shared" si="5"/>
        <v>94.655647382920108</v>
      </c>
      <c r="O29" s="18"/>
    </row>
    <row r="30" spans="1:15" x14ac:dyDescent="0.2">
      <c r="A30" s="29"/>
      <c r="L30" s="31"/>
    </row>
    <row r="31" spans="1:15" x14ac:dyDescent="0.2">
      <c r="D31" s="3"/>
      <c r="F31" s="3"/>
      <c r="L31" s="3"/>
      <c r="M31" s="3"/>
      <c r="N31" s="3"/>
    </row>
  </sheetData>
  <mergeCells count="26">
    <mergeCell ref="A2:N2"/>
    <mergeCell ref="A6:A7"/>
    <mergeCell ref="D6:E6"/>
    <mergeCell ref="F6:H6"/>
    <mergeCell ref="I6:L6"/>
    <mergeCell ref="M6:M7"/>
    <mergeCell ref="N6:N7"/>
    <mergeCell ref="B6:C7"/>
    <mergeCell ref="A13:A17"/>
    <mergeCell ref="B13:C13"/>
    <mergeCell ref="B14:B17"/>
    <mergeCell ref="B11:C11"/>
    <mergeCell ref="B22:C22"/>
    <mergeCell ref="B21:C21"/>
    <mergeCell ref="B18:C18"/>
    <mergeCell ref="A11:A12"/>
    <mergeCell ref="B19:C19"/>
    <mergeCell ref="B24:C24"/>
    <mergeCell ref="B26:C26"/>
    <mergeCell ref="B28:C28"/>
    <mergeCell ref="B27:C27"/>
    <mergeCell ref="B9:C9"/>
    <mergeCell ref="B23:C23"/>
    <mergeCell ref="B25:C25"/>
    <mergeCell ref="B10:C10"/>
    <mergeCell ref="B20:C20"/>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W25"/>
  <sheetViews>
    <sheetView workbookViewId="0"/>
  </sheetViews>
  <sheetFormatPr defaultRowHeight="12.75" x14ac:dyDescent="0.2"/>
  <cols>
    <col min="1" max="1" width="7.7109375" style="67" customWidth="1"/>
    <col min="2" max="2" width="7.140625" style="67" customWidth="1"/>
    <col min="3" max="3" width="40.7109375" style="67" customWidth="1"/>
    <col min="4" max="4" width="14.7109375" style="72" customWidth="1"/>
    <col min="5" max="5" width="14.7109375" style="148" customWidth="1"/>
    <col min="6" max="6" width="14.7109375" style="72" customWidth="1"/>
    <col min="7" max="9" width="14.7109375" style="148" customWidth="1"/>
    <col min="10" max="10" width="15.5703125" style="148" customWidth="1"/>
    <col min="11" max="11" width="14.7109375" style="148" customWidth="1"/>
    <col min="12" max="12" width="14.7109375" style="693" customWidth="1"/>
    <col min="13" max="14" width="9.7109375" style="149" customWidth="1"/>
    <col min="15" max="15" width="10.85546875" style="67" customWidth="1"/>
    <col min="16" max="256" width="9.140625" style="67"/>
    <col min="257" max="257" width="6.7109375" style="67" customWidth="1"/>
    <col min="258" max="258" width="41.5703125" style="67" customWidth="1"/>
    <col min="259" max="266" width="14.7109375" style="67" customWidth="1"/>
    <col min="267" max="267" width="16.7109375" style="67" customWidth="1"/>
    <col min="268" max="269" width="7.42578125" style="67" customWidth="1"/>
    <col min="270" max="512" width="9.140625" style="67"/>
    <col min="513" max="513" width="6.7109375" style="67" customWidth="1"/>
    <col min="514" max="514" width="41.5703125" style="67" customWidth="1"/>
    <col min="515" max="522" width="14.7109375" style="67" customWidth="1"/>
    <col min="523" max="523" width="16.7109375" style="67" customWidth="1"/>
    <col min="524" max="525" width="7.42578125" style="67" customWidth="1"/>
    <col min="526" max="768" width="9.140625" style="67"/>
    <col min="769" max="769" width="6.7109375" style="67" customWidth="1"/>
    <col min="770" max="770" width="41.5703125" style="67" customWidth="1"/>
    <col min="771" max="778" width="14.7109375" style="67" customWidth="1"/>
    <col min="779" max="779" width="16.7109375" style="67" customWidth="1"/>
    <col min="780" max="781" width="7.42578125" style="67" customWidth="1"/>
    <col min="782" max="1024" width="9.140625" style="67"/>
    <col min="1025" max="1025" width="6.7109375" style="67" customWidth="1"/>
    <col min="1026" max="1026" width="41.5703125" style="67" customWidth="1"/>
    <col min="1027" max="1034" width="14.7109375" style="67" customWidth="1"/>
    <col min="1035" max="1035" width="16.7109375" style="67" customWidth="1"/>
    <col min="1036" max="1037" width="7.42578125" style="67" customWidth="1"/>
    <col min="1038" max="1280" width="9.140625" style="67"/>
    <col min="1281" max="1281" width="6.7109375" style="67" customWidth="1"/>
    <col min="1282" max="1282" width="41.5703125" style="67" customWidth="1"/>
    <col min="1283" max="1290" width="14.7109375" style="67" customWidth="1"/>
    <col min="1291" max="1291" width="16.7109375" style="67" customWidth="1"/>
    <col min="1292" max="1293" width="7.42578125" style="67" customWidth="1"/>
    <col min="1294" max="1536" width="9.140625" style="67"/>
    <col min="1537" max="1537" width="6.7109375" style="67" customWidth="1"/>
    <col min="1538" max="1538" width="41.5703125" style="67" customWidth="1"/>
    <col min="1539" max="1546" width="14.7109375" style="67" customWidth="1"/>
    <col min="1547" max="1547" width="16.7109375" style="67" customWidth="1"/>
    <col min="1548" max="1549" width="7.42578125" style="67" customWidth="1"/>
    <col min="1550" max="1792" width="9.140625" style="67"/>
    <col min="1793" max="1793" width="6.7109375" style="67" customWidth="1"/>
    <col min="1794" max="1794" width="41.5703125" style="67" customWidth="1"/>
    <col min="1795" max="1802" width="14.7109375" style="67" customWidth="1"/>
    <col min="1803" max="1803" width="16.7109375" style="67" customWidth="1"/>
    <col min="1804" max="1805" width="7.42578125" style="67" customWidth="1"/>
    <col min="1806" max="2048" width="9.140625" style="67"/>
    <col min="2049" max="2049" width="6.7109375" style="67" customWidth="1"/>
    <col min="2050" max="2050" width="41.5703125" style="67" customWidth="1"/>
    <col min="2051" max="2058" width="14.7109375" style="67" customWidth="1"/>
    <col min="2059" max="2059" width="16.7109375" style="67" customWidth="1"/>
    <col min="2060" max="2061" width="7.42578125" style="67" customWidth="1"/>
    <col min="2062" max="2304" width="9.140625" style="67"/>
    <col min="2305" max="2305" width="6.7109375" style="67" customWidth="1"/>
    <col min="2306" max="2306" width="41.5703125" style="67" customWidth="1"/>
    <col min="2307" max="2314" width="14.7109375" style="67" customWidth="1"/>
    <col min="2315" max="2315" width="16.7109375" style="67" customWidth="1"/>
    <col min="2316" max="2317" width="7.42578125" style="67" customWidth="1"/>
    <col min="2318" max="2560" width="9.140625" style="67"/>
    <col min="2561" max="2561" width="6.7109375" style="67" customWidth="1"/>
    <col min="2562" max="2562" width="41.5703125" style="67" customWidth="1"/>
    <col min="2563" max="2570" width="14.7109375" style="67" customWidth="1"/>
    <col min="2571" max="2571" width="16.7109375" style="67" customWidth="1"/>
    <col min="2572" max="2573" width="7.42578125" style="67" customWidth="1"/>
    <col min="2574" max="2816" width="9.140625" style="67"/>
    <col min="2817" max="2817" width="6.7109375" style="67" customWidth="1"/>
    <col min="2818" max="2818" width="41.5703125" style="67" customWidth="1"/>
    <col min="2819" max="2826" width="14.7109375" style="67" customWidth="1"/>
    <col min="2827" max="2827" width="16.7109375" style="67" customWidth="1"/>
    <col min="2828" max="2829" width="7.42578125" style="67" customWidth="1"/>
    <col min="2830" max="3072" width="9.140625" style="67"/>
    <col min="3073" max="3073" width="6.7109375" style="67" customWidth="1"/>
    <col min="3074" max="3074" width="41.5703125" style="67" customWidth="1"/>
    <col min="3075" max="3082" width="14.7109375" style="67" customWidth="1"/>
    <col min="3083" max="3083" width="16.7109375" style="67" customWidth="1"/>
    <col min="3084" max="3085" width="7.42578125" style="67" customWidth="1"/>
    <col min="3086" max="3328" width="9.140625" style="67"/>
    <col min="3329" max="3329" width="6.7109375" style="67" customWidth="1"/>
    <col min="3330" max="3330" width="41.5703125" style="67" customWidth="1"/>
    <col min="3331" max="3338" width="14.7109375" style="67" customWidth="1"/>
    <col min="3339" max="3339" width="16.7109375" style="67" customWidth="1"/>
    <col min="3340" max="3341" width="7.42578125" style="67" customWidth="1"/>
    <col min="3342" max="3584" width="9.140625" style="67"/>
    <col min="3585" max="3585" width="6.7109375" style="67" customWidth="1"/>
    <col min="3586" max="3586" width="41.5703125" style="67" customWidth="1"/>
    <col min="3587" max="3594" width="14.7109375" style="67" customWidth="1"/>
    <col min="3595" max="3595" width="16.7109375" style="67" customWidth="1"/>
    <col min="3596" max="3597" width="7.42578125" style="67" customWidth="1"/>
    <col min="3598" max="3840" width="9.140625" style="67"/>
    <col min="3841" max="3841" width="6.7109375" style="67" customWidth="1"/>
    <col min="3842" max="3842" width="41.5703125" style="67" customWidth="1"/>
    <col min="3843" max="3850" width="14.7109375" style="67" customWidth="1"/>
    <col min="3851" max="3851" width="16.7109375" style="67" customWidth="1"/>
    <col min="3852" max="3853" width="7.42578125" style="67" customWidth="1"/>
    <col min="3854" max="4096" width="9.140625" style="67"/>
    <col min="4097" max="4097" width="6.7109375" style="67" customWidth="1"/>
    <col min="4098" max="4098" width="41.5703125" style="67" customWidth="1"/>
    <col min="4099" max="4106" width="14.7109375" style="67" customWidth="1"/>
    <col min="4107" max="4107" width="16.7109375" style="67" customWidth="1"/>
    <col min="4108" max="4109" width="7.42578125" style="67" customWidth="1"/>
    <col min="4110" max="4352" width="9.140625" style="67"/>
    <col min="4353" max="4353" width="6.7109375" style="67" customWidth="1"/>
    <col min="4354" max="4354" width="41.5703125" style="67" customWidth="1"/>
    <col min="4355" max="4362" width="14.7109375" style="67" customWidth="1"/>
    <col min="4363" max="4363" width="16.7109375" style="67" customWidth="1"/>
    <col min="4364" max="4365" width="7.42578125" style="67" customWidth="1"/>
    <col min="4366" max="4608" width="9.140625" style="67"/>
    <col min="4609" max="4609" width="6.7109375" style="67" customWidth="1"/>
    <col min="4610" max="4610" width="41.5703125" style="67" customWidth="1"/>
    <col min="4611" max="4618" width="14.7109375" style="67" customWidth="1"/>
    <col min="4619" max="4619" width="16.7109375" style="67" customWidth="1"/>
    <col min="4620" max="4621" width="7.42578125" style="67" customWidth="1"/>
    <col min="4622" max="4864" width="9.140625" style="67"/>
    <col min="4865" max="4865" width="6.7109375" style="67" customWidth="1"/>
    <col min="4866" max="4866" width="41.5703125" style="67" customWidth="1"/>
    <col min="4867" max="4874" width="14.7109375" style="67" customWidth="1"/>
    <col min="4875" max="4875" width="16.7109375" style="67" customWidth="1"/>
    <col min="4876" max="4877" width="7.42578125" style="67" customWidth="1"/>
    <col min="4878" max="5120" width="9.140625" style="67"/>
    <col min="5121" max="5121" width="6.7109375" style="67" customWidth="1"/>
    <col min="5122" max="5122" width="41.5703125" style="67" customWidth="1"/>
    <col min="5123" max="5130" width="14.7109375" style="67" customWidth="1"/>
    <col min="5131" max="5131" width="16.7109375" style="67" customWidth="1"/>
    <col min="5132" max="5133" width="7.42578125" style="67" customWidth="1"/>
    <col min="5134" max="5376" width="9.140625" style="67"/>
    <col min="5377" max="5377" width="6.7109375" style="67" customWidth="1"/>
    <col min="5378" max="5378" width="41.5703125" style="67" customWidth="1"/>
    <col min="5379" max="5386" width="14.7109375" style="67" customWidth="1"/>
    <col min="5387" max="5387" width="16.7109375" style="67" customWidth="1"/>
    <col min="5388" max="5389" width="7.42578125" style="67" customWidth="1"/>
    <col min="5390" max="5632" width="9.140625" style="67"/>
    <col min="5633" max="5633" width="6.7109375" style="67" customWidth="1"/>
    <col min="5634" max="5634" width="41.5703125" style="67" customWidth="1"/>
    <col min="5635" max="5642" width="14.7109375" style="67" customWidth="1"/>
    <col min="5643" max="5643" width="16.7109375" style="67" customWidth="1"/>
    <col min="5644" max="5645" width="7.42578125" style="67" customWidth="1"/>
    <col min="5646" max="5888" width="9.140625" style="67"/>
    <col min="5889" max="5889" width="6.7109375" style="67" customWidth="1"/>
    <col min="5890" max="5890" width="41.5703125" style="67" customWidth="1"/>
    <col min="5891" max="5898" width="14.7109375" style="67" customWidth="1"/>
    <col min="5899" max="5899" width="16.7109375" style="67" customWidth="1"/>
    <col min="5900" max="5901" width="7.42578125" style="67" customWidth="1"/>
    <col min="5902" max="6144" width="9.140625" style="67"/>
    <col min="6145" max="6145" width="6.7109375" style="67" customWidth="1"/>
    <col min="6146" max="6146" width="41.5703125" style="67" customWidth="1"/>
    <col min="6147" max="6154" width="14.7109375" style="67" customWidth="1"/>
    <col min="6155" max="6155" width="16.7109375" style="67" customWidth="1"/>
    <col min="6156" max="6157" width="7.42578125" style="67" customWidth="1"/>
    <col min="6158" max="6400" width="9.140625" style="67"/>
    <col min="6401" max="6401" width="6.7109375" style="67" customWidth="1"/>
    <col min="6402" max="6402" width="41.5703125" style="67" customWidth="1"/>
    <col min="6403" max="6410" width="14.7109375" style="67" customWidth="1"/>
    <col min="6411" max="6411" width="16.7109375" style="67" customWidth="1"/>
    <col min="6412" max="6413" width="7.42578125" style="67" customWidth="1"/>
    <col min="6414" max="6656" width="9.140625" style="67"/>
    <col min="6657" max="6657" width="6.7109375" style="67" customWidth="1"/>
    <col min="6658" max="6658" width="41.5703125" style="67" customWidth="1"/>
    <col min="6659" max="6666" width="14.7109375" style="67" customWidth="1"/>
    <col min="6667" max="6667" width="16.7109375" style="67" customWidth="1"/>
    <col min="6668" max="6669" width="7.42578125" style="67" customWidth="1"/>
    <col min="6670" max="6912" width="9.140625" style="67"/>
    <col min="6913" max="6913" width="6.7109375" style="67" customWidth="1"/>
    <col min="6914" max="6914" width="41.5703125" style="67" customWidth="1"/>
    <col min="6915" max="6922" width="14.7109375" style="67" customWidth="1"/>
    <col min="6923" max="6923" width="16.7109375" style="67" customWidth="1"/>
    <col min="6924" max="6925" width="7.42578125" style="67" customWidth="1"/>
    <col min="6926" max="7168" width="9.140625" style="67"/>
    <col min="7169" max="7169" width="6.7109375" style="67" customWidth="1"/>
    <col min="7170" max="7170" width="41.5703125" style="67" customWidth="1"/>
    <col min="7171" max="7178" width="14.7109375" style="67" customWidth="1"/>
    <col min="7179" max="7179" width="16.7109375" style="67" customWidth="1"/>
    <col min="7180" max="7181" width="7.42578125" style="67" customWidth="1"/>
    <col min="7182" max="7424" width="9.140625" style="67"/>
    <col min="7425" max="7425" width="6.7109375" style="67" customWidth="1"/>
    <col min="7426" max="7426" width="41.5703125" style="67" customWidth="1"/>
    <col min="7427" max="7434" width="14.7109375" style="67" customWidth="1"/>
    <col min="7435" max="7435" width="16.7109375" style="67" customWidth="1"/>
    <col min="7436" max="7437" width="7.42578125" style="67" customWidth="1"/>
    <col min="7438" max="7680" width="9.140625" style="67"/>
    <col min="7681" max="7681" width="6.7109375" style="67" customWidth="1"/>
    <col min="7682" max="7682" width="41.5703125" style="67" customWidth="1"/>
    <col min="7683" max="7690" width="14.7109375" style="67" customWidth="1"/>
    <col min="7691" max="7691" width="16.7109375" style="67" customWidth="1"/>
    <col min="7692" max="7693" width="7.42578125" style="67" customWidth="1"/>
    <col min="7694" max="7936" width="9.140625" style="67"/>
    <col min="7937" max="7937" width="6.7109375" style="67" customWidth="1"/>
    <col min="7938" max="7938" width="41.5703125" style="67" customWidth="1"/>
    <col min="7939" max="7946" width="14.7109375" style="67" customWidth="1"/>
    <col min="7947" max="7947" width="16.7109375" style="67" customWidth="1"/>
    <col min="7948" max="7949" width="7.42578125" style="67" customWidth="1"/>
    <col min="7950" max="8192" width="9.140625" style="67"/>
    <col min="8193" max="8193" width="6.7109375" style="67" customWidth="1"/>
    <col min="8194" max="8194" width="41.5703125" style="67" customWidth="1"/>
    <col min="8195" max="8202" width="14.7109375" style="67" customWidth="1"/>
    <col min="8203" max="8203" width="16.7109375" style="67" customWidth="1"/>
    <col min="8204" max="8205" width="7.42578125" style="67" customWidth="1"/>
    <col min="8206" max="8448" width="9.140625" style="67"/>
    <col min="8449" max="8449" width="6.7109375" style="67" customWidth="1"/>
    <col min="8450" max="8450" width="41.5703125" style="67" customWidth="1"/>
    <col min="8451" max="8458" width="14.7109375" style="67" customWidth="1"/>
    <col min="8459" max="8459" width="16.7109375" style="67" customWidth="1"/>
    <col min="8460" max="8461" width="7.42578125" style="67" customWidth="1"/>
    <col min="8462" max="8704" width="9.140625" style="67"/>
    <col min="8705" max="8705" width="6.7109375" style="67" customWidth="1"/>
    <col min="8706" max="8706" width="41.5703125" style="67" customWidth="1"/>
    <col min="8707" max="8714" width="14.7109375" style="67" customWidth="1"/>
    <col min="8715" max="8715" width="16.7109375" style="67" customWidth="1"/>
    <col min="8716" max="8717" width="7.42578125" style="67" customWidth="1"/>
    <col min="8718" max="8960" width="9.140625" style="67"/>
    <col min="8961" max="8961" width="6.7109375" style="67" customWidth="1"/>
    <col min="8962" max="8962" width="41.5703125" style="67" customWidth="1"/>
    <col min="8963" max="8970" width="14.7109375" style="67" customWidth="1"/>
    <col min="8971" max="8971" width="16.7109375" style="67" customWidth="1"/>
    <col min="8972" max="8973" width="7.42578125" style="67" customWidth="1"/>
    <col min="8974" max="9216" width="9.140625" style="67"/>
    <col min="9217" max="9217" width="6.7109375" style="67" customWidth="1"/>
    <col min="9218" max="9218" width="41.5703125" style="67" customWidth="1"/>
    <col min="9219" max="9226" width="14.7109375" style="67" customWidth="1"/>
    <col min="9227" max="9227" width="16.7109375" style="67" customWidth="1"/>
    <col min="9228" max="9229" width="7.42578125" style="67" customWidth="1"/>
    <col min="9230" max="9472" width="9.140625" style="67"/>
    <col min="9473" max="9473" width="6.7109375" style="67" customWidth="1"/>
    <col min="9474" max="9474" width="41.5703125" style="67" customWidth="1"/>
    <col min="9475" max="9482" width="14.7109375" style="67" customWidth="1"/>
    <col min="9483" max="9483" width="16.7109375" style="67" customWidth="1"/>
    <col min="9484" max="9485" width="7.42578125" style="67" customWidth="1"/>
    <col min="9486" max="9728" width="9.140625" style="67"/>
    <col min="9729" max="9729" width="6.7109375" style="67" customWidth="1"/>
    <col min="9730" max="9730" width="41.5703125" style="67" customWidth="1"/>
    <col min="9731" max="9738" width="14.7109375" style="67" customWidth="1"/>
    <col min="9739" max="9739" width="16.7109375" style="67" customWidth="1"/>
    <col min="9740" max="9741" width="7.42578125" style="67" customWidth="1"/>
    <col min="9742" max="9984" width="9.140625" style="67"/>
    <col min="9985" max="9985" width="6.7109375" style="67" customWidth="1"/>
    <col min="9986" max="9986" width="41.5703125" style="67" customWidth="1"/>
    <col min="9987" max="9994" width="14.7109375" style="67" customWidth="1"/>
    <col min="9995" max="9995" width="16.7109375" style="67" customWidth="1"/>
    <col min="9996" max="9997" width="7.42578125" style="67" customWidth="1"/>
    <col min="9998" max="10240" width="9.140625" style="67"/>
    <col min="10241" max="10241" width="6.7109375" style="67" customWidth="1"/>
    <col min="10242" max="10242" width="41.5703125" style="67" customWidth="1"/>
    <col min="10243" max="10250" width="14.7109375" style="67" customWidth="1"/>
    <col min="10251" max="10251" width="16.7109375" style="67" customWidth="1"/>
    <col min="10252" max="10253" width="7.42578125" style="67" customWidth="1"/>
    <col min="10254" max="10496" width="9.140625" style="67"/>
    <col min="10497" max="10497" width="6.7109375" style="67" customWidth="1"/>
    <col min="10498" max="10498" width="41.5703125" style="67" customWidth="1"/>
    <col min="10499" max="10506" width="14.7109375" style="67" customWidth="1"/>
    <col min="10507" max="10507" width="16.7109375" style="67" customWidth="1"/>
    <col min="10508" max="10509" width="7.42578125" style="67" customWidth="1"/>
    <col min="10510" max="10752" width="9.140625" style="67"/>
    <col min="10753" max="10753" width="6.7109375" style="67" customWidth="1"/>
    <col min="10754" max="10754" width="41.5703125" style="67" customWidth="1"/>
    <col min="10755" max="10762" width="14.7109375" style="67" customWidth="1"/>
    <col min="10763" max="10763" width="16.7109375" style="67" customWidth="1"/>
    <col min="10764" max="10765" width="7.42578125" style="67" customWidth="1"/>
    <col min="10766" max="11008" width="9.140625" style="67"/>
    <col min="11009" max="11009" width="6.7109375" style="67" customWidth="1"/>
    <col min="11010" max="11010" width="41.5703125" style="67" customWidth="1"/>
    <col min="11011" max="11018" width="14.7109375" style="67" customWidth="1"/>
    <col min="11019" max="11019" width="16.7109375" style="67" customWidth="1"/>
    <col min="11020" max="11021" width="7.42578125" style="67" customWidth="1"/>
    <col min="11022" max="11264" width="9.140625" style="67"/>
    <col min="11265" max="11265" width="6.7109375" style="67" customWidth="1"/>
    <col min="11266" max="11266" width="41.5703125" style="67" customWidth="1"/>
    <col min="11267" max="11274" width="14.7109375" style="67" customWidth="1"/>
    <col min="11275" max="11275" width="16.7109375" style="67" customWidth="1"/>
    <col min="11276" max="11277" width="7.42578125" style="67" customWidth="1"/>
    <col min="11278" max="11520" width="9.140625" style="67"/>
    <col min="11521" max="11521" width="6.7109375" style="67" customWidth="1"/>
    <col min="11522" max="11522" width="41.5703125" style="67" customWidth="1"/>
    <col min="11523" max="11530" width="14.7109375" style="67" customWidth="1"/>
    <col min="11531" max="11531" width="16.7109375" style="67" customWidth="1"/>
    <col min="11532" max="11533" width="7.42578125" style="67" customWidth="1"/>
    <col min="11534" max="11776" width="9.140625" style="67"/>
    <col min="11777" max="11777" width="6.7109375" style="67" customWidth="1"/>
    <col min="11778" max="11778" width="41.5703125" style="67" customWidth="1"/>
    <col min="11779" max="11786" width="14.7109375" style="67" customWidth="1"/>
    <col min="11787" max="11787" width="16.7109375" style="67" customWidth="1"/>
    <col min="11788" max="11789" width="7.42578125" style="67" customWidth="1"/>
    <col min="11790" max="12032" width="9.140625" style="67"/>
    <col min="12033" max="12033" width="6.7109375" style="67" customWidth="1"/>
    <col min="12034" max="12034" width="41.5703125" style="67" customWidth="1"/>
    <col min="12035" max="12042" width="14.7109375" style="67" customWidth="1"/>
    <col min="12043" max="12043" width="16.7109375" style="67" customWidth="1"/>
    <col min="12044" max="12045" width="7.42578125" style="67" customWidth="1"/>
    <col min="12046" max="12288" width="9.140625" style="67"/>
    <col min="12289" max="12289" width="6.7109375" style="67" customWidth="1"/>
    <col min="12290" max="12290" width="41.5703125" style="67" customWidth="1"/>
    <col min="12291" max="12298" width="14.7109375" style="67" customWidth="1"/>
    <col min="12299" max="12299" width="16.7109375" style="67" customWidth="1"/>
    <col min="12300" max="12301" width="7.42578125" style="67" customWidth="1"/>
    <col min="12302" max="12544" width="9.140625" style="67"/>
    <col min="12545" max="12545" width="6.7109375" style="67" customWidth="1"/>
    <col min="12546" max="12546" width="41.5703125" style="67" customWidth="1"/>
    <col min="12547" max="12554" width="14.7109375" style="67" customWidth="1"/>
    <col min="12555" max="12555" width="16.7109375" style="67" customWidth="1"/>
    <col min="12556" max="12557" width="7.42578125" style="67" customWidth="1"/>
    <col min="12558" max="12800" width="9.140625" style="67"/>
    <col min="12801" max="12801" width="6.7109375" style="67" customWidth="1"/>
    <col min="12802" max="12802" width="41.5703125" style="67" customWidth="1"/>
    <col min="12803" max="12810" width="14.7109375" style="67" customWidth="1"/>
    <col min="12811" max="12811" width="16.7109375" style="67" customWidth="1"/>
    <col min="12812" max="12813" width="7.42578125" style="67" customWidth="1"/>
    <col min="12814" max="13056" width="9.140625" style="67"/>
    <col min="13057" max="13057" width="6.7109375" style="67" customWidth="1"/>
    <col min="13058" max="13058" width="41.5703125" style="67" customWidth="1"/>
    <col min="13059" max="13066" width="14.7109375" style="67" customWidth="1"/>
    <col min="13067" max="13067" width="16.7109375" style="67" customWidth="1"/>
    <col min="13068" max="13069" width="7.42578125" style="67" customWidth="1"/>
    <col min="13070" max="13312" width="9.140625" style="67"/>
    <col min="13313" max="13313" width="6.7109375" style="67" customWidth="1"/>
    <col min="13314" max="13314" width="41.5703125" style="67" customWidth="1"/>
    <col min="13315" max="13322" width="14.7109375" style="67" customWidth="1"/>
    <col min="13323" max="13323" width="16.7109375" style="67" customWidth="1"/>
    <col min="13324" max="13325" width="7.42578125" style="67" customWidth="1"/>
    <col min="13326" max="13568" width="9.140625" style="67"/>
    <col min="13569" max="13569" width="6.7109375" style="67" customWidth="1"/>
    <col min="13570" max="13570" width="41.5703125" style="67" customWidth="1"/>
    <col min="13571" max="13578" width="14.7109375" style="67" customWidth="1"/>
    <col min="13579" max="13579" width="16.7109375" style="67" customWidth="1"/>
    <col min="13580" max="13581" width="7.42578125" style="67" customWidth="1"/>
    <col min="13582" max="13824" width="9.140625" style="67"/>
    <col min="13825" max="13825" width="6.7109375" style="67" customWidth="1"/>
    <col min="13826" max="13826" width="41.5703125" style="67" customWidth="1"/>
    <col min="13827" max="13834" width="14.7109375" style="67" customWidth="1"/>
    <col min="13835" max="13835" width="16.7109375" style="67" customWidth="1"/>
    <col min="13836" max="13837" width="7.42578125" style="67" customWidth="1"/>
    <col min="13838" max="14080" width="9.140625" style="67"/>
    <col min="14081" max="14081" width="6.7109375" style="67" customWidth="1"/>
    <col min="14082" max="14082" width="41.5703125" style="67" customWidth="1"/>
    <col min="14083" max="14090" width="14.7109375" style="67" customWidth="1"/>
    <col min="14091" max="14091" width="16.7109375" style="67" customWidth="1"/>
    <col min="14092" max="14093" width="7.42578125" style="67" customWidth="1"/>
    <col min="14094" max="14336" width="9.140625" style="67"/>
    <col min="14337" max="14337" width="6.7109375" style="67" customWidth="1"/>
    <col min="14338" max="14338" width="41.5703125" style="67" customWidth="1"/>
    <col min="14339" max="14346" width="14.7109375" style="67" customWidth="1"/>
    <col min="14347" max="14347" width="16.7109375" style="67" customWidth="1"/>
    <col min="14348" max="14349" width="7.42578125" style="67" customWidth="1"/>
    <col min="14350" max="14592" width="9.140625" style="67"/>
    <col min="14593" max="14593" width="6.7109375" style="67" customWidth="1"/>
    <col min="14594" max="14594" width="41.5703125" style="67" customWidth="1"/>
    <col min="14595" max="14602" width="14.7109375" style="67" customWidth="1"/>
    <col min="14603" max="14603" width="16.7109375" style="67" customWidth="1"/>
    <col min="14604" max="14605" width="7.42578125" style="67" customWidth="1"/>
    <col min="14606" max="14848" width="9.140625" style="67"/>
    <col min="14849" max="14849" width="6.7109375" style="67" customWidth="1"/>
    <col min="14850" max="14850" width="41.5703125" style="67" customWidth="1"/>
    <col min="14851" max="14858" width="14.7109375" style="67" customWidth="1"/>
    <col min="14859" max="14859" width="16.7109375" style="67" customWidth="1"/>
    <col min="14860" max="14861" width="7.42578125" style="67" customWidth="1"/>
    <col min="14862" max="15104" width="9.140625" style="67"/>
    <col min="15105" max="15105" width="6.7109375" style="67" customWidth="1"/>
    <col min="15106" max="15106" width="41.5703125" style="67" customWidth="1"/>
    <col min="15107" max="15114" width="14.7109375" style="67" customWidth="1"/>
    <col min="15115" max="15115" width="16.7109375" style="67" customWidth="1"/>
    <col min="15116" max="15117" width="7.42578125" style="67" customWidth="1"/>
    <col min="15118" max="15360" width="9.140625" style="67"/>
    <col min="15361" max="15361" width="6.7109375" style="67" customWidth="1"/>
    <col min="15362" max="15362" width="41.5703125" style="67" customWidth="1"/>
    <col min="15363" max="15370" width="14.7109375" style="67" customWidth="1"/>
    <col min="15371" max="15371" width="16.7109375" style="67" customWidth="1"/>
    <col min="15372" max="15373" width="7.42578125" style="67" customWidth="1"/>
    <col min="15374" max="15616" width="9.140625" style="67"/>
    <col min="15617" max="15617" width="6.7109375" style="67" customWidth="1"/>
    <col min="15618" max="15618" width="41.5703125" style="67" customWidth="1"/>
    <col min="15619" max="15626" width="14.7109375" style="67" customWidth="1"/>
    <col min="15627" max="15627" width="16.7109375" style="67" customWidth="1"/>
    <col min="15628" max="15629" width="7.42578125" style="67" customWidth="1"/>
    <col min="15630" max="15872" width="9.140625" style="67"/>
    <col min="15873" max="15873" width="6.7109375" style="67" customWidth="1"/>
    <col min="15874" max="15874" width="41.5703125" style="67" customWidth="1"/>
    <col min="15875" max="15882" width="14.7109375" style="67" customWidth="1"/>
    <col min="15883" max="15883" width="16.7109375" style="67" customWidth="1"/>
    <col min="15884" max="15885" width="7.42578125" style="67" customWidth="1"/>
    <col min="15886" max="16128" width="9.140625" style="67"/>
    <col min="16129" max="16129" width="6.7109375" style="67" customWidth="1"/>
    <col min="16130" max="16130" width="41.5703125" style="67" customWidth="1"/>
    <col min="16131" max="16138" width="14.7109375" style="67" customWidth="1"/>
    <col min="16139" max="16139" width="16.7109375" style="67" customWidth="1"/>
    <col min="16140" max="16141" width="7.42578125" style="67" customWidth="1"/>
    <col min="16142" max="16384" width="9.140625" style="67"/>
  </cols>
  <sheetData>
    <row r="1" spans="1:23" ht="15" x14ac:dyDescent="0.2">
      <c r="N1" s="150"/>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c r="D3" s="72" t="s">
        <v>186</v>
      </c>
    </row>
    <row r="4" spans="1:23" ht="20.100000000000001" customHeight="1" x14ac:dyDescent="0.2">
      <c r="A4" s="68" t="s">
        <v>156</v>
      </c>
      <c r="M4" s="341"/>
    </row>
    <row r="5" spans="1:23" ht="15" customHeight="1" thickBot="1" x14ac:dyDescent="0.25">
      <c r="A5" s="68"/>
      <c r="N5" s="341" t="s">
        <v>0</v>
      </c>
    </row>
    <row r="6" spans="1:23" s="152" customFormat="1" ht="15.75" customHeight="1" x14ac:dyDescent="0.2">
      <c r="A6" s="1286" t="s">
        <v>88</v>
      </c>
      <c r="B6" s="1298" t="s">
        <v>103</v>
      </c>
      <c r="C6" s="1299"/>
      <c r="D6" s="1288" t="s">
        <v>283</v>
      </c>
      <c r="E6" s="1289"/>
      <c r="F6" s="1288" t="s">
        <v>390</v>
      </c>
      <c r="G6" s="1290"/>
      <c r="H6" s="1289"/>
      <c r="I6" s="1291" t="s">
        <v>484</v>
      </c>
      <c r="J6" s="1292"/>
      <c r="K6" s="1292"/>
      <c r="L6" s="1293"/>
      <c r="M6" s="1294" t="s">
        <v>485</v>
      </c>
      <c r="N6" s="1296" t="s">
        <v>489</v>
      </c>
    </row>
    <row r="7" spans="1:23" s="152" customFormat="1" ht="27" customHeight="1" thickBot="1" x14ac:dyDescent="0.25">
      <c r="A7" s="1287"/>
      <c r="B7" s="1300"/>
      <c r="C7" s="1301"/>
      <c r="D7" s="179" t="s">
        <v>108</v>
      </c>
      <c r="E7" s="180" t="s">
        <v>127</v>
      </c>
      <c r="F7" s="267" t="s">
        <v>109</v>
      </c>
      <c r="G7" s="268" t="s">
        <v>586</v>
      </c>
      <c r="H7" s="269" t="s">
        <v>587</v>
      </c>
      <c r="I7" s="892" t="s">
        <v>125</v>
      </c>
      <c r="J7" s="893" t="s">
        <v>126</v>
      </c>
      <c r="K7" s="894" t="s">
        <v>331</v>
      </c>
      <c r="L7" s="889" t="s">
        <v>85</v>
      </c>
      <c r="M7" s="1295"/>
      <c r="N7" s="1297"/>
    </row>
    <row r="8" spans="1:23" s="69" customFormat="1" ht="20.100000000000001" customHeight="1" thickBot="1" x14ac:dyDescent="0.25">
      <c r="B8" s="342" t="s">
        <v>104</v>
      </c>
      <c r="C8" s="342"/>
      <c r="D8" s="343"/>
      <c r="E8" s="344"/>
      <c r="F8" s="343"/>
      <c r="G8" s="156"/>
      <c r="H8" s="156"/>
      <c r="I8" s="156"/>
      <c r="J8" s="156"/>
      <c r="K8" s="156"/>
      <c r="L8" s="890"/>
      <c r="M8" s="158"/>
      <c r="N8" s="158"/>
    </row>
    <row r="9" spans="1:23" s="487" customFormat="1" ht="30" customHeight="1" x14ac:dyDescent="0.2">
      <c r="A9" s="539">
        <v>1019</v>
      </c>
      <c r="B9" s="1385" t="s">
        <v>157</v>
      </c>
      <c r="C9" s="1386"/>
      <c r="D9" s="453">
        <v>1000</v>
      </c>
      <c r="E9" s="454">
        <v>999.48</v>
      </c>
      <c r="F9" s="540">
        <v>1200</v>
      </c>
      <c r="G9" s="456">
        <v>1200</v>
      </c>
      <c r="H9" s="457">
        <v>476.95</v>
      </c>
      <c r="I9" s="489">
        <v>0</v>
      </c>
      <c r="J9" s="455">
        <v>0</v>
      </c>
      <c r="K9" s="1077">
        <v>1230</v>
      </c>
      <c r="L9" s="904">
        <f t="shared" ref="L9:L22" si="0">SUM(I9:K9)</f>
        <v>1230</v>
      </c>
      <c r="M9" s="458">
        <f t="shared" ref="M9:M22" si="1">L9/F9*100</f>
        <v>102.49999999999999</v>
      </c>
      <c r="N9" s="459">
        <f>L9/G9*100</f>
        <v>102.49999999999999</v>
      </c>
      <c r="O9" s="541"/>
      <c r="P9" s="541"/>
      <c r="Q9" s="541"/>
      <c r="R9" s="541"/>
      <c r="S9" s="541"/>
      <c r="T9" s="541"/>
      <c r="U9" s="541"/>
      <c r="V9" s="541"/>
      <c r="W9" s="541"/>
    </row>
    <row r="10" spans="1:23" s="544" customFormat="1" ht="20.100000000000001" customHeight="1" x14ac:dyDescent="0.2">
      <c r="A10" s="542">
        <v>1070</v>
      </c>
      <c r="B10" s="1383" t="s">
        <v>424</v>
      </c>
      <c r="C10" s="1384"/>
      <c r="D10" s="471">
        <v>180</v>
      </c>
      <c r="E10" s="463">
        <v>180</v>
      </c>
      <c r="F10" s="543">
        <v>180</v>
      </c>
      <c r="G10" s="466">
        <v>180</v>
      </c>
      <c r="H10" s="467">
        <v>150</v>
      </c>
      <c r="I10" s="1046">
        <v>0</v>
      </c>
      <c r="J10" s="531">
        <v>0</v>
      </c>
      <c r="K10" s="1122">
        <v>150</v>
      </c>
      <c r="L10" s="1065">
        <f t="shared" si="0"/>
        <v>150</v>
      </c>
      <c r="M10" s="476">
        <f t="shared" si="1"/>
        <v>83.333333333333343</v>
      </c>
      <c r="N10" s="477">
        <f t="shared" ref="N10:N22" si="2">L10/G10*100</f>
        <v>83.333333333333343</v>
      </c>
    </row>
    <row r="11" spans="1:23" s="544" customFormat="1" ht="20.100000000000001" customHeight="1" x14ac:dyDescent="0.2">
      <c r="A11" s="542">
        <v>2310</v>
      </c>
      <c r="B11" s="1383" t="s">
        <v>115</v>
      </c>
      <c r="C11" s="1384"/>
      <c r="D11" s="471">
        <v>1500</v>
      </c>
      <c r="E11" s="463">
        <v>4797.41</v>
      </c>
      <c r="F11" s="543">
        <v>0</v>
      </c>
      <c r="G11" s="466">
        <v>0</v>
      </c>
      <c r="H11" s="467">
        <v>0</v>
      </c>
      <c r="I11" s="1046">
        <v>0</v>
      </c>
      <c r="J11" s="531">
        <v>0</v>
      </c>
      <c r="K11" s="1122">
        <v>0</v>
      </c>
      <c r="L11" s="1065">
        <f t="shared" si="0"/>
        <v>0</v>
      </c>
      <c r="M11" s="476" t="s">
        <v>60</v>
      </c>
      <c r="N11" s="477" t="s">
        <v>60</v>
      </c>
    </row>
    <row r="12" spans="1:23" s="544" customFormat="1" ht="30" customHeight="1" x14ac:dyDescent="0.2">
      <c r="A12" s="542">
        <v>2321</v>
      </c>
      <c r="B12" s="1383" t="s">
        <v>407</v>
      </c>
      <c r="C12" s="1384"/>
      <c r="D12" s="471">
        <v>0</v>
      </c>
      <c r="E12" s="463">
        <v>0</v>
      </c>
      <c r="F12" s="543">
        <v>100</v>
      </c>
      <c r="G12" s="466">
        <v>100</v>
      </c>
      <c r="H12" s="467">
        <v>0</v>
      </c>
      <c r="I12" s="1046">
        <v>0</v>
      </c>
      <c r="J12" s="531">
        <v>0</v>
      </c>
      <c r="K12" s="1122">
        <v>0</v>
      </c>
      <c r="L12" s="1065">
        <f t="shared" si="0"/>
        <v>0</v>
      </c>
      <c r="M12" s="476">
        <f t="shared" ref="M12:M21" si="3">L12/F12*100</f>
        <v>0</v>
      </c>
      <c r="N12" s="477">
        <f t="shared" ref="N12:N21" si="4">L12/G12*100</f>
        <v>0</v>
      </c>
    </row>
    <row r="13" spans="1:23" s="544" customFormat="1" ht="29.25" customHeight="1" x14ac:dyDescent="0.2">
      <c r="A13" s="542">
        <v>2339</v>
      </c>
      <c r="B13" s="1383" t="s">
        <v>333</v>
      </c>
      <c r="C13" s="1384"/>
      <c r="D13" s="471">
        <v>300</v>
      </c>
      <c r="E13" s="463">
        <v>270.37</v>
      </c>
      <c r="F13" s="543">
        <v>300</v>
      </c>
      <c r="G13" s="466">
        <v>300</v>
      </c>
      <c r="H13" s="467">
        <v>0</v>
      </c>
      <c r="I13" s="1046">
        <v>300</v>
      </c>
      <c r="J13" s="531">
        <v>0</v>
      </c>
      <c r="K13" s="1122">
        <v>0</v>
      </c>
      <c r="L13" s="1065">
        <f t="shared" si="0"/>
        <v>300</v>
      </c>
      <c r="M13" s="476">
        <f t="shared" si="3"/>
        <v>100</v>
      </c>
      <c r="N13" s="477">
        <f t="shared" si="4"/>
        <v>100</v>
      </c>
    </row>
    <row r="14" spans="1:23" s="544" customFormat="1" ht="20.100000000000001" customHeight="1" x14ac:dyDescent="0.2">
      <c r="A14" s="542">
        <v>3716</v>
      </c>
      <c r="B14" s="1383" t="s">
        <v>158</v>
      </c>
      <c r="C14" s="1384"/>
      <c r="D14" s="471">
        <v>1120</v>
      </c>
      <c r="E14" s="463">
        <v>1114.49</v>
      </c>
      <c r="F14" s="543">
        <v>1120</v>
      </c>
      <c r="G14" s="466">
        <v>1120</v>
      </c>
      <c r="H14" s="467">
        <v>333.99</v>
      </c>
      <c r="I14" s="1046">
        <v>0</v>
      </c>
      <c r="J14" s="531">
        <v>1115</v>
      </c>
      <c r="K14" s="1122">
        <v>0</v>
      </c>
      <c r="L14" s="1065">
        <f t="shared" si="0"/>
        <v>1115</v>
      </c>
      <c r="M14" s="476">
        <f t="shared" si="3"/>
        <v>99.553571428571431</v>
      </c>
      <c r="N14" s="477">
        <f t="shared" si="4"/>
        <v>99.553571428571431</v>
      </c>
    </row>
    <row r="15" spans="1:23" s="544" customFormat="1" ht="20.100000000000001" customHeight="1" x14ac:dyDescent="0.2">
      <c r="A15" s="542">
        <v>3727</v>
      </c>
      <c r="B15" s="1383" t="s">
        <v>159</v>
      </c>
      <c r="C15" s="1384"/>
      <c r="D15" s="471">
        <v>1000</v>
      </c>
      <c r="E15" s="463">
        <v>973.51</v>
      </c>
      <c r="F15" s="543">
        <v>1000</v>
      </c>
      <c r="G15" s="466">
        <v>2392.33</v>
      </c>
      <c r="H15" s="467">
        <v>780.7</v>
      </c>
      <c r="I15" s="1046">
        <v>0</v>
      </c>
      <c r="J15" s="531">
        <v>1000</v>
      </c>
      <c r="K15" s="1122">
        <v>0</v>
      </c>
      <c r="L15" s="1065">
        <f t="shared" si="0"/>
        <v>1000</v>
      </c>
      <c r="M15" s="476">
        <f t="shared" si="3"/>
        <v>100</v>
      </c>
      <c r="N15" s="477">
        <f t="shared" si="4"/>
        <v>41.800253309535059</v>
      </c>
    </row>
    <row r="16" spans="1:23" s="544" customFormat="1" ht="20.100000000000001" customHeight="1" x14ac:dyDescent="0.2">
      <c r="A16" s="542">
        <v>3729</v>
      </c>
      <c r="B16" s="1383" t="s">
        <v>160</v>
      </c>
      <c r="C16" s="1384"/>
      <c r="D16" s="471">
        <v>200</v>
      </c>
      <c r="E16" s="463">
        <v>278.52999999999997</v>
      </c>
      <c r="F16" s="543">
        <v>650</v>
      </c>
      <c r="G16" s="466">
        <v>650</v>
      </c>
      <c r="H16" s="467">
        <v>0</v>
      </c>
      <c r="I16" s="1046">
        <v>100</v>
      </c>
      <c r="J16" s="531">
        <v>0</v>
      </c>
      <c r="K16" s="1122">
        <v>0</v>
      </c>
      <c r="L16" s="1065">
        <f t="shared" si="0"/>
        <v>100</v>
      </c>
      <c r="M16" s="476">
        <f t="shared" si="3"/>
        <v>15.384615384615385</v>
      </c>
      <c r="N16" s="477">
        <f t="shared" si="4"/>
        <v>15.384615384615385</v>
      </c>
    </row>
    <row r="17" spans="1:15" s="544" customFormat="1" ht="20.100000000000001" customHeight="1" x14ac:dyDescent="0.2">
      <c r="A17" s="542">
        <v>3741</v>
      </c>
      <c r="B17" s="1383" t="s">
        <v>161</v>
      </c>
      <c r="C17" s="1384"/>
      <c r="D17" s="471">
        <v>2004</v>
      </c>
      <c r="E17" s="463">
        <v>2004</v>
      </c>
      <c r="F17" s="543">
        <v>3500</v>
      </c>
      <c r="G17" s="466">
        <v>3500</v>
      </c>
      <c r="H17" s="467">
        <v>1002</v>
      </c>
      <c r="I17" s="1046">
        <v>3484</v>
      </c>
      <c r="J17" s="531">
        <v>0</v>
      </c>
      <c r="K17" s="1122">
        <v>0</v>
      </c>
      <c r="L17" s="1065">
        <f t="shared" si="0"/>
        <v>3484</v>
      </c>
      <c r="M17" s="476">
        <f t="shared" si="3"/>
        <v>99.542857142857144</v>
      </c>
      <c r="N17" s="477">
        <f t="shared" si="4"/>
        <v>99.542857142857144</v>
      </c>
    </row>
    <row r="18" spans="1:15" s="487" customFormat="1" ht="20.100000000000001" customHeight="1" x14ac:dyDescent="0.2">
      <c r="A18" s="1381">
        <v>3742</v>
      </c>
      <c r="B18" s="1383" t="s">
        <v>121</v>
      </c>
      <c r="C18" s="1384"/>
      <c r="D18" s="494">
        <v>16694</v>
      </c>
      <c r="E18" s="518">
        <v>16597.169999999998</v>
      </c>
      <c r="F18" s="545">
        <v>18889</v>
      </c>
      <c r="G18" s="496">
        <v>22826.32</v>
      </c>
      <c r="H18" s="504">
        <v>3218.82</v>
      </c>
      <c r="I18" s="1046">
        <v>19900</v>
      </c>
      <c r="J18" s="531">
        <v>0</v>
      </c>
      <c r="K18" s="1122">
        <v>0</v>
      </c>
      <c r="L18" s="1065">
        <f t="shared" si="0"/>
        <v>19900</v>
      </c>
      <c r="M18" s="476">
        <f t="shared" si="3"/>
        <v>105.3523214569326</v>
      </c>
      <c r="N18" s="477">
        <f t="shared" si="4"/>
        <v>87.180062314030465</v>
      </c>
      <c r="O18" s="506"/>
    </row>
    <row r="19" spans="1:15" ht="15" customHeight="1" x14ac:dyDescent="0.2">
      <c r="A19" s="1382"/>
      <c r="B19" s="446" t="s">
        <v>96</v>
      </c>
      <c r="C19" s="681" t="s">
        <v>150</v>
      </c>
      <c r="D19" s="74">
        <v>200</v>
      </c>
      <c r="E19" s="99">
        <v>11.98</v>
      </c>
      <c r="F19" s="346">
        <v>200</v>
      </c>
      <c r="G19" s="76">
        <v>200</v>
      </c>
      <c r="H19" s="84">
        <v>46.15</v>
      </c>
      <c r="I19" s="80">
        <v>200</v>
      </c>
      <c r="J19" s="906">
        <v>0</v>
      </c>
      <c r="K19" s="907">
        <v>0</v>
      </c>
      <c r="L19" s="1071">
        <f t="shared" si="0"/>
        <v>200</v>
      </c>
      <c r="M19" s="78">
        <f t="shared" si="3"/>
        <v>100</v>
      </c>
      <c r="N19" s="79">
        <f t="shared" si="4"/>
        <v>100</v>
      </c>
      <c r="O19" s="345"/>
    </row>
    <row r="20" spans="1:15" s="487" customFormat="1" ht="20.100000000000001" customHeight="1" x14ac:dyDescent="0.2">
      <c r="A20" s="542">
        <v>3769</v>
      </c>
      <c r="B20" s="1383" t="s">
        <v>162</v>
      </c>
      <c r="C20" s="1384"/>
      <c r="D20" s="494">
        <v>400</v>
      </c>
      <c r="E20" s="518">
        <v>0</v>
      </c>
      <c r="F20" s="545">
        <v>400</v>
      </c>
      <c r="G20" s="496">
        <v>666.92</v>
      </c>
      <c r="H20" s="504">
        <v>0</v>
      </c>
      <c r="I20" s="1046">
        <v>400</v>
      </c>
      <c r="J20" s="531">
        <v>0</v>
      </c>
      <c r="K20" s="1122">
        <v>0</v>
      </c>
      <c r="L20" s="1065">
        <f t="shared" si="0"/>
        <v>400</v>
      </c>
      <c r="M20" s="476">
        <f t="shared" si="3"/>
        <v>100</v>
      </c>
      <c r="N20" s="477">
        <f t="shared" si="4"/>
        <v>59.977208660708939</v>
      </c>
      <c r="O20" s="506"/>
    </row>
    <row r="21" spans="1:15" s="487" customFormat="1" ht="20.100000000000001" customHeight="1" x14ac:dyDescent="0.2">
      <c r="A21" s="542">
        <v>3792</v>
      </c>
      <c r="B21" s="1383" t="s">
        <v>163</v>
      </c>
      <c r="C21" s="1384"/>
      <c r="D21" s="494">
        <v>17177</v>
      </c>
      <c r="E21" s="518">
        <f>12396.58+5919.53</f>
        <v>18316.11</v>
      </c>
      <c r="F21" s="545">
        <v>17177</v>
      </c>
      <c r="G21" s="496">
        <v>18942.05</v>
      </c>
      <c r="H21" s="504">
        <f>8134.51+6347.2</f>
        <v>14481.71</v>
      </c>
      <c r="I21" s="1046">
        <v>0</v>
      </c>
      <c r="J21" s="531">
        <v>18000</v>
      </c>
      <c r="K21" s="1122">
        <v>177</v>
      </c>
      <c r="L21" s="1065">
        <f t="shared" si="0"/>
        <v>18177</v>
      </c>
      <c r="M21" s="476">
        <f t="shared" si="3"/>
        <v>105.8217383710776</v>
      </c>
      <c r="N21" s="477">
        <f t="shared" si="4"/>
        <v>95.961102414997328</v>
      </c>
      <c r="O21" s="506"/>
    </row>
    <row r="22" spans="1:15" s="487" customFormat="1" ht="20.100000000000001" customHeight="1" thickBot="1" x14ac:dyDescent="0.25">
      <c r="A22" s="542">
        <v>3799</v>
      </c>
      <c r="B22" s="1383" t="s">
        <v>164</v>
      </c>
      <c r="C22" s="1384"/>
      <c r="D22" s="494">
        <v>1426</v>
      </c>
      <c r="E22" s="518">
        <v>1235.7</v>
      </c>
      <c r="F22" s="545">
        <v>1495</v>
      </c>
      <c r="G22" s="496">
        <v>1723</v>
      </c>
      <c r="H22" s="504">
        <v>422.37</v>
      </c>
      <c r="I22" s="1046">
        <v>732</v>
      </c>
      <c r="J22" s="531">
        <v>0</v>
      </c>
      <c r="K22" s="1122">
        <v>883</v>
      </c>
      <c r="L22" s="1065">
        <f t="shared" si="0"/>
        <v>1615</v>
      </c>
      <c r="M22" s="476">
        <f t="shared" si="1"/>
        <v>108.0267558528428</v>
      </c>
      <c r="N22" s="477">
        <f t="shared" si="2"/>
        <v>93.731863029599538</v>
      </c>
      <c r="O22" s="506"/>
    </row>
    <row r="23" spans="1:15" s="19" customFormat="1" ht="20.100000000000001" customHeight="1" thickBot="1" x14ac:dyDescent="0.3">
      <c r="A23" s="192"/>
      <c r="B23" s="417" t="s">
        <v>85</v>
      </c>
      <c r="C23" s="677"/>
      <c r="D23" s="183">
        <f t="shared" ref="D23:L23" si="5">SUM(D9:D18)+SUM(D20:D22)</f>
        <v>43001</v>
      </c>
      <c r="E23" s="196">
        <f t="shared" si="5"/>
        <v>46766.770000000004</v>
      </c>
      <c r="F23" s="183">
        <f t="shared" si="5"/>
        <v>46011</v>
      </c>
      <c r="G23" s="185">
        <f t="shared" si="5"/>
        <v>53600.619999999995</v>
      </c>
      <c r="H23" s="184">
        <f t="shared" si="5"/>
        <v>20866.54</v>
      </c>
      <c r="I23" s="183">
        <f t="shared" si="5"/>
        <v>24916</v>
      </c>
      <c r="J23" s="982">
        <f t="shared" si="5"/>
        <v>20115</v>
      </c>
      <c r="K23" s="193">
        <f t="shared" si="5"/>
        <v>2440</v>
      </c>
      <c r="L23" s="1067">
        <f t="shared" si="5"/>
        <v>47471</v>
      </c>
      <c r="M23" s="186">
        <f>L23/F23*100</f>
        <v>103.17315424572384</v>
      </c>
      <c r="N23" s="187">
        <f>L23/G23*100</f>
        <v>88.564274069964128</v>
      </c>
      <c r="O23" s="271"/>
    </row>
    <row r="25" spans="1:15" x14ac:dyDescent="0.2">
      <c r="D25" s="148"/>
      <c r="F25" s="148"/>
      <c r="L25" s="148"/>
    </row>
  </sheetData>
  <mergeCells count="22">
    <mergeCell ref="A2:N2"/>
    <mergeCell ref="A6:A7"/>
    <mergeCell ref="D6:E6"/>
    <mergeCell ref="F6:H6"/>
    <mergeCell ref="I6:L6"/>
    <mergeCell ref="M6:M7"/>
    <mergeCell ref="N6:N7"/>
    <mergeCell ref="B6:C7"/>
    <mergeCell ref="B15:C15"/>
    <mergeCell ref="B13:C13"/>
    <mergeCell ref="B14:C14"/>
    <mergeCell ref="B9:C9"/>
    <mergeCell ref="B10:C10"/>
    <mergeCell ref="B11:C11"/>
    <mergeCell ref="B12:C12"/>
    <mergeCell ref="A18:A19"/>
    <mergeCell ref="B20:C20"/>
    <mergeCell ref="B21:C21"/>
    <mergeCell ref="B22:C22"/>
    <mergeCell ref="B16:C16"/>
    <mergeCell ref="B17:C17"/>
    <mergeCell ref="B18:C18"/>
  </mergeCells>
  <printOptions horizontalCentered="1"/>
  <pageMargins left="0.59055118110236227" right="0.59055118110236227" top="0.78740157480314965" bottom="0.78740157480314965" header="0.55118110236220474" footer="0.59055118110236227"/>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34"/>
  <sheetViews>
    <sheetView workbookViewId="0"/>
  </sheetViews>
  <sheetFormatPr defaultRowHeight="12.75" x14ac:dyDescent="0.2"/>
  <cols>
    <col min="1" max="1" width="7.7109375" style="1" customWidth="1"/>
    <col min="2" max="2" width="6.7109375" style="1" customWidth="1"/>
    <col min="3" max="3" width="40.710937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4" width="9.7109375" style="5" customWidth="1"/>
    <col min="15" max="15" width="10" style="1" customWidth="1"/>
    <col min="16" max="257" width="9.140625" style="1"/>
    <col min="258" max="258" width="6.7109375" style="1" customWidth="1"/>
    <col min="259" max="259" width="41.5703125" style="1" customWidth="1"/>
    <col min="260" max="267" width="14.7109375" style="1" customWidth="1"/>
    <col min="268" max="268" width="16.7109375" style="1" customWidth="1"/>
    <col min="269" max="270" width="7.42578125" style="1" customWidth="1"/>
    <col min="271" max="513" width="9.140625" style="1"/>
    <col min="514" max="514" width="6.7109375" style="1" customWidth="1"/>
    <col min="515" max="515" width="41.5703125" style="1" customWidth="1"/>
    <col min="516" max="523" width="14.7109375" style="1" customWidth="1"/>
    <col min="524" max="524" width="16.7109375" style="1" customWidth="1"/>
    <col min="525" max="526" width="7.42578125" style="1" customWidth="1"/>
    <col min="527" max="769" width="9.140625" style="1"/>
    <col min="770" max="770" width="6.7109375" style="1" customWidth="1"/>
    <col min="771" max="771" width="41.5703125" style="1" customWidth="1"/>
    <col min="772" max="779" width="14.7109375" style="1" customWidth="1"/>
    <col min="780" max="780" width="16.7109375" style="1" customWidth="1"/>
    <col min="781" max="782" width="7.42578125" style="1" customWidth="1"/>
    <col min="783" max="1025" width="9.140625" style="1"/>
    <col min="1026" max="1026" width="6.7109375" style="1" customWidth="1"/>
    <col min="1027" max="1027" width="41.5703125" style="1" customWidth="1"/>
    <col min="1028" max="1035" width="14.7109375" style="1" customWidth="1"/>
    <col min="1036" max="1036" width="16.7109375" style="1" customWidth="1"/>
    <col min="1037" max="1038" width="7.42578125" style="1" customWidth="1"/>
    <col min="1039" max="1281" width="9.140625" style="1"/>
    <col min="1282" max="1282" width="6.7109375" style="1" customWidth="1"/>
    <col min="1283" max="1283" width="41.5703125" style="1" customWidth="1"/>
    <col min="1284" max="1291" width="14.7109375" style="1" customWidth="1"/>
    <col min="1292" max="1292" width="16.7109375" style="1" customWidth="1"/>
    <col min="1293" max="1294" width="7.42578125" style="1" customWidth="1"/>
    <col min="1295" max="1537" width="9.140625" style="1"/>
    <col min="1538" max="1538" width="6.7109375" style="1" customWidth="1"/>
    <col min="1539" max="1539" width="41.5703125" style="1" customWidth="1"/>
    <col min="1540" max="1547" width="14.7109375" style="1" customWidth="1"/>
    <col min="1548" max="1548" width="16.7109375" style="1" customWidth="1"/>
    <col min="1549" max="1550" width="7.42578125" style="1" customWidth="1"/>
    <col min="1551" max="1793" width="9.140625" style="1"/>
    <col min="1794" max="1794" width="6.7109375" style="1" customWidth="1"/>
    <col min="1795" max="1795" width="41.5703125" style="1" customWidth="1"/>
    <col min="1796" max="1803" width="14.7109375" style="1" customWidth="1"/>
    <col min="1804" max="1804" width="16.7109375" style="1" customWidth="1"/>
    <col min="1805" max="1806" width="7.42578125" style="1" customWidth="1"/>
    <col min="1807" max="2049" width="9.140625" style="1"/>
    <col min="2050" max="2050" width="6.7109375" style="1" customWidth="1"/>
    <col min="2051" max="2051" width="41.5703125" style="1" customWidth="1"/>
    <col min="2052" max="2059" width="14.7109375" style="1" customWidth="1"/>
    <col min="2060" max="2060" width="16.7109375" style="1" customWidth="1"/>
    <col min="2061" max="2062" width="7.42578125" style="1" customWidth="1"/>
    <col min="2063" max="2305" width="9.140625" style="1"/>
    <col min="2306" max="2306" width="6.7109375" style="1" customWidth="1"/>
    <col min="2307" max="2307" width="41.5703125" style="1" customWidth="1"/>
    <col min="2308" max="2315" width="14.7109375" style="1" customWidth="1"/>
    <col min="2316" max="2316" width="16.7109375" style="1" customWidth="1"/>
    <col min="2317" max="2318" width="7.42578125" style="1" customWidth="1"/>
    <col min="2319" max="2561" width="9.140625" style="1"/>
    <col min="2562" max="2562" width="6.7109375" style="1" customWidth="1"/>
    <col min="2563" max="2563" width="41.5703125" style="1" customWidth="1"/>
    <col min="2564" max="2571" width="14.7109375" style="1" customWidth="1"/>
    <col min="2572" max="2572" width="16.7109375" style="1" customWidth="1"/>
    <col min="2573" max="2574" width="7.42578125" style="1" customWidth="1"/>
    <col min="2575" max="2817" width="9.140625" style="1"/>
    <col min="2818" max="2818" width="6.7109375" style="1" customWidth="1"/>
    <col min="2819" max="2819" width="41.5703125" style="1" customWidth="1"/>
    <col min="2820" max="2827" width="14.7109375" style="1" customWidth="1"/>
    <col min="2828" max="2828" width="16.7109375" style="1" customWidth="1"/>
    <col min="2829" max="2830" width="7.42578125" style="1" customWidth="1"/>
    <col min="2831" max="3073" width="9.140625" style="1"/>
    <col min="3074" max="3074" width="6.7109375" style="1" customWidth="1"/>
    <col min="3075" max="3075" width="41.5703125" style="1" customWidth="1"/>
    <col min="3076" max="3083" width="14.7109375" style="1" customWidth="1"/>
    <col min="3084" max="3084" width="16.7109375" style="1" customWidth="1"/>
    <col min="3085" max="3086" width="7.42578125" style="1" customWidth="1"/>
    <col min="3087" max="3329" width="9.140625" style="1"/>
    <col min="3330" max="3330" width="6.7109375" style="1" customWidth="1"/>
    <col min="3331" max="3331" width="41.5703125" style="1" customWidth="1"/>
    <col min="3332" max="3339" width="14.7109375" style="1" customWidth="1"/>
    <col min="3340" max="3340" width="16.7109375" style="1" customWidth="1"/>
    <col min="3341" max="3342" width="7.42578125" style="1" customWidth="1"/>
    <col min="3343" max="3585" width="9.140625" style="1"/>
    <col min="3586" max="3586" width="6.7109375" style="1" customWidth="1"/>
    <col min="3587" max="3587" width="41.5703125" style="1" customWidth="1"/>
    <col min="3588" max="3595" width="14.7109375" style="1" customWidth="1"/>
    <col min="3596" max="3596" width="16.7109375" style="1" customWidth="1"/>
    <col min="3597" max="3598" width="7.42578125" style="1" customWidth="1"/>
    <col min="3599" max="3841" width="9.140625" style="1"/>
    <col min="3842" max="3842" width="6.7109375" style="1" customWidth="1"/>
    <col min="3843" max="3843" width="41.5703125" style="1" customWidth="1"/>
    <col min="3844" max="3851" width="14.7109375" style="1" customWidth="1"/>
    <col min="3852" max="3852" width="16.7109375" style="1" customWidth="1"/>
    <col min="3853" max="3854" width="7.42578125" style="1" customWidth="1"/>
    <col min="3855" max="4097" width="9.140625" style="1"/>
    <col min="4098" max="4098" width="6.7109375" style="1" customWidth="1"/>
    <col min="4099" max="4099" width="41.5703125" style="1" customWidth="1"/>
    <col min="4100" max="4107" width="14.7109375" style="1" customWidth="1"/>
    <col min="4108" max="4108" width="16.7109375" style="1" customWidth="1"/>
    <col min="4109" max="4110" width="7.42578125" style="1" customWidth="1"/>
    <col min="4111" max="4353" width="9.140625" style="1"/>
    <col min="4354" max="4354" width="6.7109375" style="1" customWidth="1"/>
    <col min="4355" max="4355" width="41.5703125" style="1" customWidth="1"/>
    <col min="4356" max="4363" width="14.7109375" style="1" customWidth="1"/>
    <col min="4364" max="4364" width="16.7109375" style="1" customWidth="1"/>
    <col min="4365" max="4366" width="7.42578125" style="1" customWidth="1"/>
    <col min="4367" max="4609" width="9.140625" style="1"/>
    <col min="4610" max="4610" width="6.7109375" style="1" customWidth="1"/>
    <col min="4611" max="4611" width="41.5703125" style="1" customWidth="1"/>
    <col min="4612" max="4619" width="14.7109375" style="1" customWidth="1"/>
    <col min="4620" max="4620" width="16.7109375" style="1" customWidth="1"/>
    <col min="4621" max="4622" width="7.42578125" style="1" customWidth="1"/>
    <col min="4623" max="4865" width="9.140625" style="1"/>
    <col min="4866" max="4866" width="6.7109375" style="1" customWidth="1"/>
    <col min="4867" max="4867" width="41.5703125" style="1" customWidth="1"/>
    <col min="4868" max="4875" width="14.7109375" style="1" customWidth="1"/>
    <col min="4876" max="4876" width="16.7109375" style="1" customWidth="1"/>
    <col min="4877" max="4878" width="7.42578125" style="1" customWidth="1"/>
    <col min="4879" max="5121" width="9.140625" style="1"/>
    <col min="5122" max="5122" width="6.7109375" style="1" customWidth="1"/>
    <col min="5123" max="5123" width="41.5703125" style="1" customWidth="1"/>
    <col min="5124" max="5131" width="14.7109375" style="1" customWidth="1"/>
    <col min="5132" max="5132" width="16.7109375" style="1" customWidth="1"/>
    <col min="5133" max="5134" width="7.42578125" style="1" customWidth="1"/>
    <col min="5135" max="5377" width="9.140625" style="1"/>
    <col min="5378" max="5378" width="6.7109375" style="1" customWidth="1"/>
    <col min="5379" max="5379" width="41.5703125" style="1" customWidth="1"/>
    <col min="5380" max="5387" width="14.7109375" style="1" customWidth="1"/>
    <col min="5388" max="5388" width="16.7109375" style="1" customWidth="1"/>
    <col min="5389" max="5390" width="7.42578125" style="1" customWidth="1"/>
    <col min="5391" max="5633" width="9.140625" style="1"/>
    <col min="5634" max="5634" width="6.7109375" style="1" customWidth="1"/>
    <col min="5635" max="5635" width="41.5703125" style="1" customWidth="1"/>
    <col min="5636" max="5643" width="14.7109375" style="1" customWidth="1"/>
    <col min="5644" max="5644" width="16.7109375" style="1" customWidth="1"/>
    <col min="5645" max="5646" width="7.42578125" style="1" customWidth="1"/>
    <col min="5647" max="5889" width="9.140625" style="1"/>
    <col min="5890" max="5890" width="6.7109375" style="1" customWidth="1"/>
    <col min="5891" max="5891" width="41.5703125" style="1" customWidth="1"/>
    <col min="5892" max="5899" width="14.7109375" style="1" customWidth="1"/>
    <col min="5900" max="5900" width="16.7109375" style="1" customWidth="1"/>
    <col min="5901" max="5902" width="7.42578125" style="1" customWidth="1"/>
    <col min="5903" max="6145" width="9.140625" style="1"/>
    <col min="6146" max="6146" width="6.7109375" style="1" customWidth="1"/>
    <col min="6147" max="6147" width="41.5703125" style="1" customWidth="1"/>
    <col min="6148" max="6155" width="14.7109375" style="1" customWidth="1"/>
    <col min="6156" max="6156" width="16.7109375" style="1" customWidth="1"/>
    <col min="6157" max="6158" width="7.42578125" style="1" customWidth="1"/>
    <col min="6159" max="6401" width="9.140625" style="1"/>
    <col min="6402" max="6402" width="6.7109375" style="1" customWidth="1"/>
    <col min="6403" max="6403" width="41.5703125" style="1" customWidth="1"/>
    <col min="6404" max="6411" width="14.7109375" style="1" customWidth="1"/>
    <col min="6412" max="6412" width="16.7109375" style="1" customWidth="1"/>
    <col min="6413" max="6414" width="7.42578125" style="1" customWidth="1"/>
    <col min="6415" max="6657" width="9.140625" style="1"/>
    <col min="6658" max="6658" width="6.7109375" style="1" customWidth="1"/>
    <col min="6659" max="6659" width="41.5703125" style="1" customWidth="1"/>
    <col min="6660" max="6667" width="14.7109375" style="1" customWidth="1"/>
    <col min="6668" max="6668" width="16.7109375" style="1" customWidth="1"/>
    <col min="6669" max="6670" width="7.42578125" style="1" customWidth="1"/>
    <col min="6671" max="6913" width="9.140625" style="1"/>
    <col min="6914" max="6914" width="6.7109375" style="1" customWidth="1"/>
    <col min="6915" max="6915" width="41.5703125" style="1" customWidth="1"/>
    <col min="6916" max="6923" width="14.7109375" style="1" customWidth="1"/>
    <col min="6924" max="6924" width="16.7109375" style="1" customWidth="1"/>
    <col min="6925" max="6926" width="7.42578125" style="1" customWidth="1"/>
    <col min="6927" max="7169" width="9.140625" style="1"/>
    <col min="7170" max="7170" width="6.7109375" style="1" customWidth="1"/>
    <col min="7171" max="7171" width="41.5703125" style="1" customWidth="1"/>
    <col min="7172" max="7179" width="14.7109375" style="1" customWidth="1"/>
    <col min="7180" max="7180" width="16.7109375" style="1" customWidth="1"/>
    <col min="7181" max="7182" width="7.42578125" style="1" customWidth="1"/>
    <col min="7183" max="7425" width="9.140625" style="1"/>
    <col min="7426" max="7426" width="6.7109375" style="1" customWidth="1"/>
    <col min="7427" max="7427" width="41.5703125" style="1" customWidth="1"/>
    <col min="7428" max="7435" width="14.7109375" style="1" customWidth="1"/>
    <col min="7436" max="7436" width="16.7109375" style="1" customWidth="1"/>
    <col min="7437" max="7438" width="7.42578125" style="1" customWidth="1"/>
    <col min="7439" max="7681" width="9.140625" style="1"/>
    <col min="7682" max="7682" width="6.7109375" style="1" customWidth="1"/>
    <col min="7683" max="7683" width="41.5703125" style="1" customWidth="1"/>
    <col min="7684" max="7691" width="14.7109375" style="1" customWidth="1"/>
    <col min="7692" max="7692" width="16.7109375" style="1" customWidth="1"/>
    <col min="7693" max="7694" width="7.42578125" style="1" customWidth="1"/>
    <col min="7695" max="7937" width="9.140625" style="1"/>
    <col min="7938" max="7938" width="6.7109375" style="1" customWidth="1"/>
    <col min="7939" max="7939" width="41.5703125" style="1" customWidth="1"/>
    <col min="7940" max="7947" width="14.7109375" style="1" customWidth="1"/>
    <col min="7948" max="7948" width="16.7109375" style="1" customWidth="1"/>
    <col min="7949" max="7950" width="7.42578125" style="1" customWidth="1"/>
    <col min="7951" max="8193" width="9.140625" style="1"/>
    <col min="8194" max="8194" width="6.7109375" style="1" customWidth="1"/>
    <col min="8195" max="8195" width="41.5703125" style="1" customWidth="1"/>
    <col min="8196" max="8203" width="14.7109375" style="1" customWidth="1"/>
    <col min="8204" max="8204" width="16.7109375" style="1" customWidth="1"/>
    <col min="8205" max="8206" width="7.42578125" style="1" customWidth="1"/>
    <col min="8207" max="8449" width="9.140625" style="1"/>
    <col min="8450" max="8450" width="6.7109375" style="1" customWidth="1"/>
    <col min="8451" max="8451" width="41.5703125" style="1" customWidth="1"/>
    <col min="8452" max="8459" width="14.7109375" style="1" customWidth="1"/>
    <col min="8460" max="8460" width="16.7109375" style="1" customWidth="1"/>
    <col min="8461" max="8462" width="7.42578125" style="1" customWidth="1"/>
    <col min="8463" max="8705" width="9.140625" style="1"/>
    <col min="8706" max="8706" width="6.7109375" style="1" customWidth="1"/>
    <col min="8707" max="8707" width="41.5703125" style="1" customWidth="1"/>
    <col min="8708" max="8715" width="14.7109375" style="1" customWidth="1"/>
    <col min="8716" max="8716" width="16.7109375" style="1" customWidth="1"/>
    <col min="8717" max="8718" width="7.42578125" style="1" customWidth="1"/>
    <col min="8719" max="8961" width="9.140625" style="1"/>
    <col min="8962" max="8962" width="6.7109375" style="1" customWidth="1"/>
    <col min="8963" max="8963" width="41.5703125" style="1" customWidth="1"/>
    <col min="8964" max="8971" width="14.7109375" style="1" customWidth="1"/>
    <col min="8972" max="8972" width="16.7109375" style="1" customWidth="1"/>
    <col min="8973" max="8974" width="7.42578125" style="1" customWidth="1"/>
    <col min="8975" max="9217" width="9.140625" style="1"/>
    <col min="9218" max="9218" width="6.7109375" style="1" customWidth="1"/>
    <col min="9219" max="9219" width="41.5703125" style="1" customWidth="1"/>
    <col min="9220" max="9227" width="14.7109375" style="1" customWidth="1"/>
    <col min="9228" max="9228" width="16.7109375" style="1" customWidth="1"/>
    <col min="9229" max="9230" width="7.42578125" style="1" customWidth="1"/>
    <col min="9231" max="9473" width="9.140625" style="1"/>
    <col min="9474" max="9474" width="6.7109375" style="1" customWidth="1"/>
    <col min="9475" max="9475" width="41.5703125" style="1" customWidth="1"/>
    <col min="9476" max="9483" width="14.7109375" style="1" customWidth="1"/>
    <col min="9484" max="9484" width="16.7109375" style="1" customWidth="1"/>
    <col min="9485" max="9486" width="7.42578125" style="1" customWidth="1"/>
    <col min="9487" max="9729" width="9.140625" style="1"/>
    <col min="9730" max="9730" width="6.7109375" style="1" customWidth="1"/>
    <col min="9731" max="9731" width="41.5703125" style="1" customWidth="1"/>
    <col min="9732" max="9739" width="14.7109375" style="1" customWidth="1"/>
    <col min="9740" max="9740" width="16.7109375" style="1" customWidth="1"/>
    <col min="9741" max="9742" width="7.42578125" style="1" customWidth="1"/>
    <col min="9743" max="9985" width="9.140625" style="1"/>
    <col min="9986" max="9986" width="6.7109375" style="1" customWidth="1"/>
    <col min="9987" max="9987" width="41.5703125" style="1" customWidth="1"/>
    <col min="9988" max="9995" width="14.7109375" style="1" customWidth="1"/>
    <col min="9996" max="9996" width="16.7109375" style="1" customWidth="1"/>
    <col min="9997" max="9998" width="7.42578125" style="1" customWidth="1"/>
    <col min="9999" max="10241" width="9.140625" style="1"/>
    <col min="10242" max="10242" width="6.7109375" style="1" customWidth="1"/>
    <col min="10243" max="10243" width="41.5703125" style="1" customWidth="1"/>
    <col min="10244" max="10251" width="14.7109375" style="1" customWidth="1"/>
    <col min="10252" max="10252" width="16.7109375" style="1" customWidth="1"/>
    <col min="10253" max="10254" width="7.42578125" style="1" customWidth="1"/>
    <col min="10255" max="10497" width="9.140625" style="1"/>
    <col min="10498" max="10498" width="6.7109375" style="1" customWidth="1"/>
    <col min="10499" max="10499" width="41.5703125" style="1" customWidth="1"/>
    <col min="10500" max="10507" width="14.7109375" style="1" customWidth="1"/>
    <col min="10508" max="10508" width="16.7109375" style="1" customWidth="1"/>
    <col min="10509" max="10510" width="7.42578125" style="1" customWidth="1"/>
    <col min="10511" max="10753" width="9.140625" style="1"/>
    <col min="10754" max="10754" width="6.7109375" style="1" customWidth="1"/>
    <col min="10755" max="10755" width="41.5703125" style="1" customWidth="1"/>
    <col min="10756" max="10763" width="14.7109375" style="1" customWidth="1"/>
    <col min="10764" max="10764" width="16.7109375" style="1" customWidth="1"/>
    <col min="10765" max="10766" width="7.42578125" style="1" customWidth="1"/>
    <col min="10767" max="11009" width="9.140625" style="1"/>
    <col min="11010" max="11010" width="6.7109375" style="1" customWidth="1"/>
    <col min="11011" max="11011" width="41.5703125" style="1" customWidth="1"/>
    <col min="11012" max="11019" width="14.7109375" style="1" customWidth="1"/>
    <col min="11020" max="11020" width="16.7109375" style="1" customWidth="1"/>
    <col min="11021" max="11022" width="7.42578125" style="1" customWidth="1"/>
    <col min="11023" max="11265" width="9.140625" style="1"/>
    <col min="11266" max="11266" width="6.7109375" style="1" customWidth="1"/>
    <col min="11267" max="11267" width="41.5703125" style="1" customWidth="1"/>
    <col min="11268" max="11275" width="14.7109375" style="1" customWidth="1"/>
    <col min="11276" max="11276" width="16.7109375" style="1" customWidth="1"/>
    <col min="11277" max="11278" width="7.42578125" style="1" customWidth="1"/>
    <col min="11279" max="11521" width="9.140625" style="1"/>
    <col min="11522" max="11522" width="6.7109375" style="1" customWidth="1"/>
    <col min="11523" max="11523" width="41.5703125" style="1" customWidth="1"/>
    <col min="11524" max="11531" width="14.7109375" style="1" customWidth="1"/>
    <col min="11532" max="11532" width="16.7109375" style="1" customWidth="1"/>
    <col min="11533" max="11534" width="7.42578125" style="1" customWidth="1"/>
    <col min="11535" max="11777" width="9.140625" style="1"/>
    <col min="11778" max="11778" width="6.7109375" style="1" customWidth="1"/>
    <col min="11779" max="11779" width="41.5703125" style="1" customWidth="1"/>
    <col min="11780" max="11787" width="14.7109375" style="1" customWidth="1"/>
    <col min="11788" max="11788" width="16.7109375" style="1" customWidth="1"/>
    <col min="11789" max="11790" width="7.42578125" style="1" customWidth="1"/>
    <col min="11791" max="12033" width="9.140625" style="1"/>
    <col min="12034" max="12034" width="6.7109375" style="1" customWidth="1"/>
    <col min="12035" max="12035" width="41.5703125" style="1" customWidth="1"/>
    <col min="12036" max="12043" width="14.7109375" style="1" customWidth="1"/>
    <col min="12044" max="12044" width="16.7109375" style="1" customWidth="1"/>
    <col min="12045" max="12046" width="7.42578125" style="1" customWidth="1"/>
    <col min="12047" max="12289" width="9.140625" style="1"/>
    <col min="12290" max="12290" width="6.7109375" style="1" customWidth="1"/>
    <col min="12291" max="12291" width="41.5703125" style="1" customWidth="1"/>
    <col min="12292" max="12299" width="14.7109375" style="1" customWidth="1"/>
    <col min="12300" max="12300" width="16.7109375" style="1" customWidth="1"/>
    <col min="12301" max="12302" width="7.42578125" style="1" customWidth="1"/>
    <col min="12303" max="12545" width="9.140625" style="1"/>
    <col min="12546" max="12546" width="6.7109375" style="1" customWidth="1"/>
    <col min="12547" max="12547" width="41.5703125" style="1" customWidth="1"/>
    <col min="12548" max="12555" width="14.7109375" style="1" customWidth="1"/>
    <col min="12556" max="12556" width="16.7109375" style="1" customWidth="1"/>
    <col min="12557" max="12558" width="7.42578125" style="1" customWidth="1"/>
    <col min="12559" max="12801" width="9.140625" style="1"/>
    <col min="12802" max="12802" width="6.7109375" style="1" customWidth="1"/>
    <col min="12803" max="12803" width="41.5703125" style="1" customWidth="1"/>
    <col min="12804" max="12811" width="14.7109375" style="1" customWidth="1"/>
    <col min="12812" max="12812" width="16.7109375" style="1" customWidth="1"/>
    <col min="12813" max="12814" width="7.42578125" style="1" customWidth="1"/>
    <col min="12815" max="13057" width="9.140625" style="1"/>
    <col min="13058" max="13058" width="6.7109375" style="1" customWidth="1"/>
    <col min="13059" max="13059" width="41.5703125" style="1" customWidth="1"/>
    <col min="13060" max="13067" width="14.7109375" style="1" customWidth="1"/>
    <col min="13068" max="13068" width="16.7109375" style="1" customWidth="1"/>
    <col min="13069" max="13070" width="7.42578125" style="1" customWidth="1"/>
    <col min="13071" max="13313" width="9.140625" style="1"/>
    <col min="13314" max="13314" width="6.7109375" style="1" customWidth="1"/>
    <col min="13315" max="13315" width="41.5703125" style="1" customWidth="1"/>
    <col min="13316" max="13323" width="14.7109375" style="1" customWidth="1"/>
    <col min="13324" max="13324" width="16.7109375" style="1" customWidth="1"/>
    <col min="13325" max="13326" width="7.42578125" style="1" customWidth="1"/>
    <col min="13327" max="13569" width="9.140625" style="1"/>
    <col min="13570" max="13570" width="6.7109375" style="1" customWidth="1"/>
    <col min="13571" max="13571" width="41.5703125" style="1" customWidth="1"/>
    <col min="13572" max="13579" width="14.7109375" style="1" customWidth="1"/>
    <col min="13580" max="13580" width="16.7109375" style="1" customWidth="1"/>
    <col min="13581" max="13582" width="7.42578125" style="1" customWidth="1"/>
    <col min="13583" max="13825" width="9.140625" style="1"/>
    <col min="13826" max="13826" width="6.7109375" style="1" customWidth="1"/>
    <col min="13827" max="13827" width="41.5703125" style="1" customWidth="1"/>
    <col min="13828" max="13835" width="14.7109375" style="1" customWidth="1"/>
    <col min="13836" max="13836" width="16.7109375" style="1" customWidth="1"/>
    <col min="13837" max="13838" width="7.42578125" style="1" customWidth="1"/>
    <col min="13839" max="14081" width="9.140625" style="1"/>
    <col min="14082" max="14082" width="6.7109375" style="1" customWidth="1"/>
    <col min="14083" max="14083" width="41.5703125" style="1" customWidth="1"/>
    <col min="14084" max="14091" width="14.7109375" style="1" customWidth="1"/>
    <col min="14092" max="14092" width="16.7109375" style="1" customWidth="1"/>
    <col min="14093" max="14094" width="7.42578125" style="1" customWidth="1"/>
    <col min="14095" max="14337" width="9.140625" style="1"/>
    <col min="14338" max="14338" width="6.7109375" style="1" customWidth="1"/>
    <col min="14339" max="14339" width="41.5703125" style="1" customWidth="1"/>
    <col min="14340" max="14347" width="14.7109375" style="1" customWidth="1"/>
    <col min="14348" max="14348" width="16.7109375" style="1" customWidth="1"/>
    <col min="14349" max="14350" width="7.42578125" style="1" customWidth="1"/>
    <col min="14351" max="14593" width="9.140625" style="1"/>
    <col min="14594" max="14594" width="6.7109375" style="1" customWidth="1"/>
    <col min="14595" max="14595" width="41.5703125" style="1" customWidth="1"/>
    <col min="14596" max="14603" width="14.7109375" style="1" customWidth="1"/>
    <col min="14604" max="14604" width="16.7109375" style="1" customWidth="1"/>
    <col min="14605" max="14606" width="7.42578125" style="1" customWidth="1"/>
    <col min="14607" max="14849" width="9.140625" style="1"/>
    <col min="14850" max="14850" width="6.7109375" style="1" customWidth="1"/>
    <col min="14851" max="14851" width="41.5703125" style="1" customWidth="1"/>
    <col min="14852" max="14859" width="14.7109375" style="1" customWidth="1"/>
    <col min="14860" max="14860" width="16.7109375" style="1" customWidth="1"/>
    <col min="14861" max="14862" width="7.42578125" style="1" customWidth="1"/>
    <col min="14863" max="15105" width="9.140625" style="1"/>
    <col min="15106" max="15106" width="6.7109375" style="1" customWidth="1"/>
    <col min="15107" max="15107" width="41.5703125" style="1" customWidth="1"/>
    <col min="15108" max="15115" width="14.7109375" style="1" customWidth="1"/>
    <col min="15116" max="15116" width="16.7109375" style="1" customWidth="1"/>
    <col min="15117" max="15118" width="7.42578125" style="1" customWidth="1"/>
    <col min="15119" max="15361" width="9.140625" style="1"/>
    <col min="15362" max="15362" width="6.7109375" style="1" customWidth="1"/>
    <col min="15363" max="15363" width="41.5703125" style="1" customWidth="1"/>
    <col min="15364" max="15371" width="14.7109375" style="1" customWidth="1"/>
    <col min="15372" max="15372" width="16.7109375" style="1" customWidth="1"/>
    <col min="15373" max="15374" width="7.42578125" style="1" customWidth="1"/>
    <col min="15375" max="15617" width="9.140625" style="1"/>
    <col min="15618" max="15618" width="6.7109375" style="1" customWidth="1"/>
    <col min="15619" max="15619" width="41.5703125" style="1" customWidth="1"/>
    <col min="15620" max="15627" width="14.7109375" style="1" customWidth="1"/>
    <col min="15628" max="15628" width="16.7109375" style="1" customWidth="1"/>
    <col min="15629" max="15630" width="7.42578125" style="1" customWidth="1"/>
    <col min="15631" max="15873" width="9.140625" style="1"/>
    <col min="15874" max="15874" width="6.7109375" style="1" customWidth="1"/>
    <col min="15875" max="15875" width="41.5703125" style="1" customWidth="1"/>
    <col min="15876" max="15883" width="14.7109375" style="1" customWidth="1"/>
    <col min="15884" max="15884" width="16.7109375" style="1" customWidth="1"/>
    <col min="15885" max="15886" width="7.42578125" style="1" customWidth="1"/>
    <col min="15887" max="16129" width="9.140625" style="1"/>
    <col min="16130" max="16130" width="6.7109375" style="1" customWidth="1"/>
    <col min="16131" max="16131" width="41.5703125" style="1" customWidth="1"/>
    <col min="16132" max="16139" width="14.7109375" style="1" customWidth="1"/>
    <col min="16140" max="16140" width="16.7109375" style="1" customWidth="1"/>
    <col min="16141" max="16142" width="7.42578125" style="1" customWidth="1"/>
    <col min="16143" max="16384" width="9.140625" style="1"/>
  </cols>
  <sheetData>
    <row r="1" spans="1:23" ht="15" x14ac:dyDescent="0.25">
      <c r="N1" s="6"/>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row r="4" spans="1:23" ht="20.100000000000001" customHeight="1" x14ac:dyDescent="0.3">
      <c r="A4" s="7" t="s">
        <v>152</v>
      </c>
      <c r="M4" s="8"/>
    </row>
    <row r="5" spans="1:23" ht="15" customHeight="1" thickBot="1" x14ac:dyDescent="0.35">
      <c r="A5" s="7"/>
      <c r="N5" s="8" t="s">
        <v>0</v>
      </c>
    </row>
    <row r="6" spans="1:23" s="62" customFormat="1" ht="15.7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23"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23" s="9" customFormat="1" ht="20.100000000000001" customHeight="1" thickBot="1" x14ac:dyDescent="0.3">
      <c r="B8" s="10" t="s">
        <v>104</v>
      </c>
      <c r="C8" s="10"/>
      <c r="D8" s="11"/>
      <c r="E8" s="12"/>
      <c r="F8" s="11"/>
      <c r="G8" s="13"/>
      <c r="H8" s="13"/>
      <c r="I8" s="13"/>
      <c r="J8" s="13"/>
      <c r="K8" s="13"/>
      <c r="L8" s="271"/>
      <c r="M8" s="16"/>
      <c r="N8" s="16"/>
    </row>
    <row r="9" spans="1:23" s="527" customFormat="1" ht="20.100000000000001" customHeight="1" x14ac:dyDescent="0.2">
      <c r="A9" s="1322">
        <v>3612</v>
      </c>
      <c r="B9" s="1316" t="s">
        <v>153</v>
      </c>
      <c r="C9" s="1317"/>
      <c r="D9" s="515">
        <f t="shared" ref="D9:I9" si="0">SUM(D10:D15)</f>
        <v>1507</v>
      </c>
      <c r="E9" s="510">
        <f t="shared" si="0"/>
        <v>2581.46</v>
      </c>
      <c r="F9" s="515">
        <f t="shared" si="0"/>
        <v>1935</v>
      </c>
      <c r="G9" s="456">
        <f t="shared" si="0"/>
        <v>2212.94</v>
      </c>
      <c r="H9" s="591">
        <f t="shared" si="0"/>
        <v>644.08000000000004</v>
      </c>
      <c r="I9" s="489">
        <f t="shared" si="0"/>
        <v>1715</v>
      </c>
      <c r="J9" s="455">
        <f t="shared" ref="J9:K9" si="1">SUM(J10:J15)</f>
        <v>75</v>
      </c>
      <c r="K9" s="1123">
        <f t="shared" si="1"/>
        <v>33</v>
      </c>
      <c r="L9" s="904">
        <f>SUM(I9:K9)</f>
        <v>1823</v>
      </c>
      <c r="M9" s="493">
        <f>L9/F9*100</f>
        <v>94.211886304909569</v>
      </c>
      <c r="N9" s="459">
        <f>L9/G9*100</f>
        <v>82.379097490216637</v>
      </c>
      <c r="O9" s="532"/>
      <c r="P9" s="532"/>
      <c r="Q9" s="532"/>
      <c r="R9" s="532"/>
      <c r="S9" s="532"/>
      <c r="T9" s="532"/>
      <c r="U9" s="532"/>
      <c r="V9" s="532"/>
      <c r="W9" s="532"/>
    </row>
    <row r="10" spans="1:23" s="527" customFormat="1" ht="15" customHeight="1" x14ac:dyDescent="0.2">
      <c r="A10" s="1311"/>
      <c r="B10" s="1312" t="s">
        <v>96</v>
      </c>
      <c r="C10" s="678" t="s">
        <v>511</v>
      </c>
      <c r="D10" s="94">
        <v>50</v>
      </c>
      <c r="E10" s="93">
        <v>0</v>
      </c>
      <c r="F10" s="94">
        <v>53</v>
      </c>
      <c r="G10" s="81">
        <v>53</v>
      </c>
      <c r="H10" s="95">
        <v>0</v>
      </c>
      <c r="I10" s="83">
        <v>45</v>
      </c>
      <c r="J10" s="906">
        <v>5</v>
      </c>
      <c r="K10" s="1124">
        <v>3</v>
      </c>
      <c r="L10" s="1071">
        <f t="shared" ref="L10:L15" si="2">SUM(I10:K10)</f>
        <v>53</v>
      </c>
      <c r="M10" s="92">
        <f t="shared" ref="M10:M13" si="3">L10/F10*100</f>
        <v>100</v>
      </c>
      <c r="N10" s="79">
        <f t="shared" ref="N10:N13" si="4">L10/G10*100</f>
        <v>100</v>
      </c>
      <c r="O10" s="532"/>
      <c r="P10" s="532"/>
      <c r="Q10" s="532"/>
      <c r="R10" s="532"/>
      <c r="S10" s="532"/>
      <c r="T10" s="532"/>
      <c r="U10" s="532"/>
      <c r="V10" s="532"/>
      <c r="W10" s="532"/>
    </row>
    <row r="11" spans="1:23" s="527" customFormat="1" ht="15" customHeight="1" x14ac:dyDescent="0.2">
      <c r="A11" s="1311"/>
      <c r="B11" s="1313"/>
      <c r="C11" s="678" t="s">
        <v>512</v>
      </c>
      <c r="D11" s="94">
        <v>350</v>
      </c>
      <c r="E11" s="93">
        <v>606.52</v>
      </c>
      <c r="F11" s="94">
        <v>699</v>
      </c>
      <c r="G11" s="81">
        <v>1161</v>
      </c>
      <c r="H11" s="95">
        <v>530</v>
      </c>
      <c r="I11" s="83">
        <v>800</v>
      </c>
      <c r="J11" s="906">
        <v>0</v>
      </c>
      <c r="K11" s="1124">
        <v>0</v>
      </c>
      <c r="L11" s="1071">
        <f t="shared" si="2"/>
        <v>800</v>
      </c>
      <c r="M11" s="92">
        <f t="shared" si="3"/>
        <v>114.44921316165953</v>
      </c>
      <c r="N11" s="79">
        <f t="shared" si="4"/>
        <v>68.906115417743337</v>
      </c>
      <c r="O11" s="532"/>
      <c r="P11" s="532"/>
      <c r="Q11" s="532"/>
      <c r="R11" s="532"/>
      <c r="S11" s="532"/>
      <c r="T11" s="532"/>
      <c r="U11" s="532"/>
      <c r="V11" s="532"/>
      <c r="W11" s="532"/>
    </row>
    <row r="12" spans="1:23" s="527" customFormat="1" ht="15" customHeight="1" x14ac:dyDescent="0.2">
      <c r="A12" s="1311"/>
      <c r="B12" s="1313"/>
      <c r="C12" s="678" t="s">
        <v>513</v>
      </c>
      <c r="D12" s="94">
        <v>160</v>
      </c>
      <c r="E12" s="93">
        <v>527.5</v>
      </c>
      <c r="F12" s="94">
        <v>171</v>
      </c>
      <c r="G12" s="81">
        <v>316.35000000000002</v>
      </c>
      <c r="H12" s="95">
        <v>113.88</v>
      </c>
      <c r="I12" s="83">
        <v>370</v>
      </c>
      <c r="J12" s="906">
        <v>20</v>
      </c>
      <c r="K12" s="1124">
        <v>10</v>
      </c>
      <c r="L12" s="1071">
        <f t="shared" si="2"/>
        <v>400</v>
      </c>
      <c r="M12" s="92">
        <f t="shared" si="3"/>
        <v>233.91812865497076</v>
      </c>
      <c r="N12" s="79">
        <f t="shared" si="4"/>
        <v>126.4422317053896</v>
      </c>
      <c r="O12" s="532"/>
      <c r="P12" s="532"/>
      <c r="Q12" s="532"/>
      <c r="R12" s="532"/>
      <c r="S12" s="532"/>
      <c r="T12" s="532"/>
      <c r="U12" s="532"/>
      <c r="V12" s="532"/>
      <c r="W12" s="532"/>
    </row>
    <row r="13" spans="1:23" s="527" customFormat="1" ht="15" customHeight="1" x14ac:dyDescent="0.2">
      <c r="A13" s="1311"/>
      <c r="B13" s="1313"/>
      <c r="C13" s="678" t="s">
        <v>514</v>
      </c>
      <c r="D13" s="94">
        <v>947</v>
      </c>
      <c r="E13" s="93">
        <v>1388.53</v>
      </c>
      <c r="F13" s="94">
        <v>1012</v>
      </c>
      <c r="G13" s="81">
        <v>681.59</v>
      </c>
      <c r="H13" s="95">
        <v>0</v>
      </c>
      <c r="I13" s="83">
        <v>500</v>
      </c>
      <c r="J13" s="906">
        <v>50</v>
      </c>
      <c r="K13" s="1124">
        <v>20</v>
      </c>
      <c r="L13" s="1071">
        <f t="shared" si="2"/>
        <v>570</v>
      </c>
      <c r="M13" s="92">
        <f t="shared" si="3"/>
        <v>56.324110671936758</v>
      </c>
      <c r="N13" s="79">
        <f t="shared" si="4"/>
        <v>83.627987499816598</v>
      </c>
      <c r="O13" s="532"/>
      <c r="P13" s="532"/>
      <c r="Q13" s="532"/>
      <c r="R13" s="532"/>
      <c r="S13" s="532"/>
      <c r="T13" s="532"/>
      <c r="U13" s="532"/>
      <c r="V13" s="532"/>
      <c r="W13" s="532"/>
    </row>
    <row r="14" spans="1:23" s="527" customFormat="1" ht="26.25" customHeight="1" x14ac:dyDescent="0.2">
      <c r="A14" s="1311"/>
      <c r="B14" s="1313"/>
      <c r="C14" s="669" t="s">
        <v>334</v>
      </c>
      <c r="D14" s="80">
        <v>0</v>
      </c>
      <c r="E14" s="98">
        <v>0</v>
      </c>
      <c r="F14" s="80">
        <v>0</v>
      </c>
      <c r="G14" s="950">
        <v>1</v>
      </c>
      <c r="H14" s="93">
        <v>0.2</v>
      </c>
      <c r="I14" s="83">
        <v>0</v>
      </c>
      <c r="J14" s="906">
        <v>0</v>
      </c>
      <c r="K14" s="907">
        <v>0</v>
      </c>
      <c r="L14" s="1071">
        <f t="shared" si="2"/>
        <v>0</v>
      </c>
      <c r="M14" s="92" t="s">
        <v>60</v>
      </c>
      <c r="N14" s="79">
        <f>L14/G14*100</f>
        <v>0</v>
      </c>
      <c r="O14" s="532"/>
      <c r="P14" s="532"/>
      <c r="Q14" s="532"/>
      <c r="R14" s="532"/>
      <c r="S14" s="532"/>
      <c r="T14" s="532"/>
      <c r="U14" s="532"/>
      <c r="V14" s="532"/>
      <c r="W14" s="532"/>
    </row>
    <row r="15" spans="1:23" s="527" customFormat="1" ht="15" customHeight="1" x14ac:dyDescent="0.2">
      <c r="A15" s="1311"/>
      <c r="B15" s="1314"/>
      <c r="C15" s="678" t="s">
        <v>248</v>
      </c>
      <c r="D15" s="94">
        <v>0</v>
      </c>
      <c r="E15" s="93">
        <v>58.91</v>
      </c>
      <c r="F15" s="94">
        <v>0</v>
      </c>
      <c r="G15" s="81">
        <v>0</v>
      </c>
      <c r="H15" s="95">
        <v>0</v>
      </c>
      <c r="I15" s="83">
        <v>0</v>
      </c>
      <c r="J15" s="906">
        <v>0</v>
      </c>
      <c r="K15" s="1124">
        <v>0</v>
      </c>
      <c r="L15" s="1071">
        <f t="shared" si="2"/>
        <v>0</v>
      </c>
      <c r="M15" s="92" t="s">
        <v>60</v>
      </c>
      <c r="N15" s="79" t="s">
        <v>60</v>
      </c>
      <c r="O15" s="532"/>
      <c r="P15" s="532"/>
      <c r="Q15" s="532"/>
      <c r="R15" s="532"/>
      <c r="S15" s="532"/>
      <c r="T15" s="532"/>
      <c r="U15" s="532"/>
      <c r="V15" s="532"/>
      <c r="W15" s="532"/>
    </row>
    <row r="16" spans="1:23" s="63" customFormat="1" ht="15" customHeight="1" x14ac:dyDescent="0.2">
      <c r="A16" s="1311"/>
      <c r="B16" s="1323" t="s">
        <v>96</v>
      </c>
      <c r="C16" s="669" t="s">
        <v>154</v>
      </c>
      <c r="D16" s="94">
        <v>947</v>
      </c>
      <c r="E16" s="93">
        <v>1388.53</v>
      </c>
      <c r="F16" s="94">
        <v>1012</v>
      </c>
      <c r="G16" s="81">
        <v>681.59</v>
      </c>
      <c r="H16" s="95">
        <v>0</v>
      </c>
      <c r="I16" s="83">
        <v>500</v>
      </c>
      <c r="J16" s="906">
        <v>50</v>
      </c>
      <c r="K16" s="1124">
        <v>20</v>
      </c>
      <c r="L16" s="1071">
        <f>SUM(I16:K16)</f>
        <v>570</v>
      </c>
      <c r="M16" s="92">
        <f t="shared" ref="M16:M17" si="5">L16/F16*100</f>
        <v>56.324110671936758</v>
      </c>
      <c r="N16" s="79">
        <f t="shared" ref="N16:N17" si="6">L16/G16*100</f>
        <v>83.627987499816598</v>
      </c>
    </row>
    <row r="17" spans="1:15" s="63" customFormat="1" ht="15" customHeight="1" x14ac:dyDescent="0.2">
      <c r="A17" s="1315"/>
      <c r="B17" s="1324"/>
      <c r="C17" s="856" t="s">
        <v>455</v>
      </c>
      <c r="D17" s="83" t="s">
        <v>60</v>
      </c>
      <c r="E17" s="82" t="s">
        <v>60</v>
      </c>
      <c r="F17" s="83">
        <v>124</v>
      </c>
      <c r="G17" s="431">
        <v>1037</v>
      </c>
      <c r="H17" s="95">
        <v>469.87</v>
      </c>
      <c r="I17" s="83">
        <v>660</v>
      </c>
      <c r="J17" s="906">
        <v>0</v>
      </c>
      <c r="K17" s="1124">
        <v>0</v>
      </c>
      <c r="L17" s="1071">
        <f>SUM(I17:K17)</f>
        <v>660</v>
      </c>
      <c r="M17" s="92">
        <f t="shared" si="5"/>
        <v>532.25806451612902</v>
      </c>
      <c r="N17" s="79">
        <f t="shared" si="6"/>
        <v>63.645130183220836</v>
      </c>
    </row>
    <row r="18" spans="1:15" s="527" customFormat="1" ht="20.100000000000001" customHeight="1" x14ac:dyDescent="0.2">
      <c r="A18" s="1310">
        <v>3613</v>
      </c>
      <c r="B18" s="1389" t="s">
        <v>155</v>
      </c>
      <c r="C18" s="1319"/>
      <c r="D18" s="517">
        <f t="shared" ref="D18:K18" si="7">SUM(D19:D25)</f>
        <v>6700</v>
      </c>
      <c r="E18" s="490">
        <f t="shared" si="7"/>
        <v>16811.599999999999</v>
      </c>
      <c r="F18" s="517">
        <f t="shared" si="7"/>
        <v>11704</v>
      </c>
      <c r="G18" s="474">
        <f>SUM(G19:G25)</f>
        <v>28073.620000000003</v>
      </c>
      <c r="H18" s="537">
        <f t="shared" si="7"/>
        <v>12928.57</v>
      </c>
      <c r="I18" s="530">
        <f t="shared" si="7"/>
        <v>13231</v>
      </c>
      <c r="J18" s="905">
        <f t="shared" si="7"/>
        <v>204</v>
      </c>
      <c r="K18" s="1125">
        <f t="shared" si="7"/>
        <v>82</v>
      </c>
      <c r="L18" s="1065">
        <f>SUM(I18:K18)</f>
        <v>13517</v>
      </c>
      <c r="M18" s="505">
        <f>L18/F18*100</f>
        <v>115.49043062200957</v>
      </c>
      <c r="N18" s="592">
        <f>L18/G18*100</f>
        <v>48.148404088963225</v>
      </c>
      <c r="O18" s="547"/>
    </row>
    <row r="19" spans="1:15" s="527" customFormat="1" ht="15" customHeight="1" x14ac:dyDescent="0.2">
      <c r="A19" s="1311"/>
      <c r="B19" s="1390" t="s">
        <v>96</v>
      </c>
      <c r="C19" s="678" t="s">
        <v>511</v>
      </c>
      <c r="D19" s="94">
        <v>24</v>
      </c>
      <c r="E19" s="93">
        <v>193.63</v>
      </c>
      <c r="F19" s="94">
        <v>26</v>
      </c>
      <c r="G19" s="81">
        <v>26</v>
      </c>
      <c r="H19" s="95">
        <v>13.35</v>
      </c>
      <c r="I19" s="83">
        <v>20</v>
      </c>
      <c r="J19" s="906">
        <v>4</v>
      </c>
      <c r="K19" s="1124">
        <v>2</v>
      </c>
      <c r="L19" s="1071">
        <f t="shared" ref="L19:L25" si="8">SUM(I19:K19)</f>
        <v>26</v>
      </c>
      <c r="M19" s="92">
        <f t="shared" ref="M19" si="9">L19/F19*100</f>
        <v>100</v>
      </c>
      <c r="N19" s="79">
        <f t="shared" ref="N19" si="10">L19/G19*100</f>
        <v>100</v>
      </c>
      <c r="O19" s="547"/>
    </row>
    <row r="20" spans="1:15" s="527" customFormat="1" ht="15" customHeight="1" x14ac:dyDescent="0.2">
      <c r="A20" s="1311"/>
      <c r="B20" s="1391"/>
      <c r="C20" s="678" t="s">
        <v>512</v>
      </c>
      <c r="D20" s="94">
        <v>2000</v>
      </c>
      <c r="E20" s="93">
        <v>9232.3799999999992</v>
      </c>
      <c r="F20" s="94">
        <v>7952</v>
      </c>
      <c r="G20" s="81">
        <v>11123.53</v>
      </c>
      <c r="H20" s="95">
        <v>7035.39</v>
      </c>
      <c r="I20" s="83">
        <v>9280</v>
      </c>
      <c r="J20" s="906">
        <v>0</v>
      </c>
      <c r="K20" s="1124">
        <v>0</v>
      </c>
      <c r="L20" s="1071">
        <f t="shared" si="8"/>
        <v>9280</v>
      </c>
      <c r="M20" s="92">
        <f t="shared" ref="M20:M27" si="11">L20/F20*100</f>
        <v>116.70020120724347</v>
      </c>
      <c r="N20" s="79">
        <f t="shared" ref="N20:N27" si="12">L20/G20*100</f>
        <v>83.426753917146797</v>
      </c>
      <c r="O20" s="547"/>
    </row>
    <row r="21" spans="1:15" s="527" customFormat="1" ht="15" customHeight="1" x14ac:dyDescent="0.2">
      <c r="A21" s="1311"/>
      <c r="B21" s="1391"/>
      <c r="C21" s="678" t="s">
        <v>513</v>
      </c>
      <c r="D21" s="94">
        <v>577</v>
      </c>
      <c r="E21" s="93">
        <v>4979.2299999999996</v>
      </c>
      <c r="F21" s="94">
        <v>617</v>
      </c>
      <c r="G21" s="81">
        <v>13179.76</v>
      </c>
      <c r="H21" s="95">
        <v>5266.39</v>
      </c>
      <c r="I21" s="83">
        <v>2931</v>
      </c>
      <c r="J21" s="906">
        <v>50</v>
      </c>
      <c r="K21" s="1124">
        <v>30</v>
      </c>
      <c r="L21" s="1071">
        <f t="shared" si="8"/>
        <v>3011</v>
      </c>
      <c r="M21" s="92">
        <f t="shared" si="11"/>
        <v>488.0064829821718</v>
      </c>
      <c r="N21" s="79">
        <f t="shared" si="12"/>
        <v>22.845636035861048</v>
      </c>
      <c r="O21" s="547"/>
    </row>
    <row r="22" spans="1:15" s="527" customFormat="1" ht="15" customHeight="1" x14ac:dyDescent="0.2">
      <c r="A22" s="1311"/>
      <c r="B22" s="1391"/>
      <c r="C22" s="678" t="s">
        <v>514</v>
      </c>
      <c r="D22" s="94">
        <v>4099</v>
      </c>
      <c r="E22" s="93">
        <v>2398.5</v>
      </c>
      <c r="F22" s="94">
        <v>3109</v>
      </c>
      <c r="G22" s="81">
        <v>3712.33</v>
      </c>
      <c r="H22" s="95">
        <v>596.55999999999995</v>
      </c>
      <c r="I22" s="83">
        <v>1000</v>
      </c>
      <c r="J22" s="906">
        <v>150</v>
      </c>
      <c r="K22" s="1124">
        <v>50</v>
      </c>
      <c r="L22" s="1071">
        <f t="shared" si="8"/>
        <v>1200</v>
      </c>
      <c r="M22" s="92">
        <f t="shared" si="11"/>
        <v>38.597619813444837</v>
      </c>
      <c r="N22" s="79">
        <f t="shared" si="12"/>
        <v>32.324712512088091</v>
      </c>
      <c r="O22" s="547"/>
    </row>
    <row r="23" spans="1:15" s="527" customFormat="1" ht="27" customHeight="1" x14ac:dyDescent="0.2">
      <c r="A23" s="1311"/>
      <c r="B23" s="1391"/>
      <c r="C23" s="669" t="s">
        <v>334</v>
      </c>
      <c r="D23" s="94">
        <v>0</v>
      </c>
      <c r="E23" s="93">
        <v>3.04</v>
      </c>
      <c r="F23" s="94">
        <v>0</v>
      </c>
      <c r="G23" s="81">
        <v>1</v>
      </c>
      <c r="H23" s="95">
        <v>0</v>
      </c>
      <c r="I23" s="83">
        <v>0</v>
      </c>
      <c r="J23" s="906">
        <v>0</v>
      </c>
      <c r="K23" s="1124">
        <v>0</v>
      </c>
      <c r="L23" s="1071">
        <f t="shared" si="8"/>
        <v>0</v>
      </c>
      <c r="M23" s="92" t="s">
        <v>60</v>
      </c>
      <c r="N23" s="79" t="s">
        <v>60</v>
      </c>
      <c r="O23" s="547"/>
    </row>
    <row r="24" spans="1:15" s="527" customFormat="1" ht="27" customHeight="1" x14ac:dyDescent="0.2">
      <c r="A24" s="1311"/>
      <c r="B24" s="1391"/>
      <c r="C24" s="669" t="s">
        <v>265</v>
      </c>
      <c r="D24" s="80">
        <v>0</v>
      </c>
      <c r="E24" s="99">
        <v>0</v>
      </c>
      <c r="F24" s="74">
        <v>0</v>
      </c>
      <c r="G24" s="954">
        <v>10</v>
      </c>
      <c r="H24" s="75">
        <v>2</v>
      </c>
      <c r="I24" s="83">
        <v>0</v>
      </c>
      <c r="J24" s="906">
        <v>0</v>
      </c>
      <c r="K24" s="1124">
        <v>0</v>
      </c>
      <c r="L24" s="1071">
        <f t="shared" si="8"/>
        <v>0</v>
      </c>
      <c r="M24" s="92" t="s">
        <v>60</v>
      </c>
      <c r="N24" s="79">
        <f t="shared" si="12"/>
        <v>0</v>
      </c>
      <c r="O24" s="547"/>
    </row>
    <row r="25" spans="1:15" s="527" customFormat="1" ht="15" customHeight="1" x14ac:dyDescent="0.2">
      <c r="A25" s="1311"/>
      <c r="B25" s="1392"/>
      <c r="C25" s="678" t="s">
        <v>248</v>
      </c>
      <c r="D25" s="94">
        <v>0</v>
      </c>
      <c r="E25" s="93">
        <v>4.82</v>
      </c>
      <c r="F25" s="94">
        <v>0</v>
      </c>
      <c r="G25" s="81">
        <v>21</v>
      </c>
      <c r="H25" s="95">
        <v>14.88</v>
      </c>
      <c r="I25" s="83">
        <v>0</v>
      </c>
      <c r="J25" s="906">
        <v>0</v>
      </c>
      <c r="K25" s="1124">
        <v>0</v>
      </c>
      <c r="L25" s="1071">
        <f t="shared" si="8"/>
        <v>0</v>
      </c>
      <c r="M25" s="92" t="s">
        <v>60</v>
      </c>
      <c r="N25" s="79">
        <f t="shared" si="12"/>
        <v>0</v>
      </c>
      <c r="O25" s="547"/>
    </row>
    <row r="26" spans="1:15" ht="15" customHeight="1" x14ac:dyDescent="0.2">
      <c r="A26" s="1311"/>
      <c r="B26" s="1393" t="s">
        <v>96</v>
      </c>
      <c r="C26" s="669" t="s">
        <v>154</v>
      </c>
      <c r="D26" s="94">
        <v>4099</v>
      </c>
      <c r="E26" s="93">
        <v>2397.3200000000002</v>
      </c>
      <c r="F26" s="94">
        <v>3109</v>
      </c>
      <c r="G26" s="81">
        <v>3712.33</v>
      </c>
      <c r="H26" s="95">
        <v>596.55999999999995</v>
      </c>
      <c r="I26" s="83">
        <v>1000</v>
      </c>
      <c r="J26" s="906">
        <v>150</v>
      </c>
      <c r="K26" s="1124">
        <v>50</v>
      </c>
      <c r="L26" s="1071">
        <f>SUM(I26:K26)</f>
        <v>1200</v>
      </c>
      <c r="M26" s="92">
        <f t="shared" si="11"/>
        <v>38.597619813444837</v>
      </c>
      <c r="N26" s="79">
        <f t="shared" si="12"/>
        <v>32.324712512088091</v>
      </c>
      <c r="O26" s="17"/>
    </row>
    <row r="27" spans="1:15" ht="15" customHeight="1" x14ac:dyDescent="0.2">
      <c r="A27" s="1315"/>
      <c r="B27" s="1394"/>
      <c r="C27" s="856" t="s">
        <v>455</v>
      </c>
      <c r="D27" s="83" t="s">
        <v>60</v>
      </c>
      <c r="E27" s="82" t="s">
        <v>60</v>
      </c>
      <c r="F27" s="83">
        <v>7188</v>
      </c>
      <c r="G27" s="431">
        <v>9734.5300000000007</v>
      </c>
      <c r="H27" s="95">
        <v>6098.3</v>
      </c>
      <c r="I27" s="83">
        <v>8280</v>
      </c>
      <c r="J27" s="906">
        <v>0</v>
      </c>
      <c r="K27" s="1124">
        <v>0</v>
      </c>
      <c r="L27" s="1071">
        <f>SUM(I27:K27)</f>
        <v>8280</v>
      </c>
      <c r="M27" s="92">
        <f t="shared" si="11"/>
        <v>115.19198664440735</v>
      </c>
      <c r="N27" s="79">
        <f t="shared" si="12"/>
        <v>85.058035673011432</v>
      </c>
      <c r="O27" s="17"/>
    </row>
    <row r="28" spans="1:15" s="527" customFormat="1" ht="20.100000000000001" customHeight="1" x14ac:dyDescent="0.2">
      <c r="A28" s="1310">
        <v>6172</v>
      </c>
      <c r="B28" s="1302" t="s">
        <v>105</v>
      </c>
      <c r="C28" s="1303"/>
      <c r="D28" s="530">
        <f t="shared" ref="D28:K28" si="13">SUM(D29:D31)</f>
        <v>6526</v>
      </c>
      <c r="E28" s="579">
        <f t="shared" si="13"/>
        <v>4307.03</v>
      </c>
      <c r="F28" s="530">
        <f t="shared" si="13"/>
        <v>6500</v>
      </c>
      <c r="G28" s="536">
        <f t="shared" si="13"/>
        <v>29502.6</v>
      </c>
      <c r="H28" s="579">
        <f t="shared" si="13"/>
        <v>2161.23</v>
      </c>
      <c r="I28" s="530">
        <f t="shared" si="13"/>
        <v>5000</v>
      </c>
      <c r="J28" s="905">
        <f t="shared" si="13"/>
        <v>0</v>
      </c>
      <c r="K28" s="905">
        <f t="shared" si="13"/>
        <v>0</v>
      </c>
      <c r="L28" s="1065">
        <f>SUM(I28:K28)</f>
        <v>5000</v>
      </c>
      <c r="M28" s="476">
        <f>L28/F28*100</f>
        <v>76.923076923076934</v>
      </c>
      <c r="N28" s="477">
        <f>L28/G28*100</f>
        <v>16.947658850406405</v>
      </c>
    </row>
    <row r="29" spans="1:15" s="527" customFormat="1" ht="15" customHeight="1" x14ac:dyDescent="0.2">
      <c r="A29" s="1311"/>
      <c r="B29" s="1312" t="s">
        <v>96</v>
      </c>
      <c r="C29" s="678" t="s">
        <v>513</v>
      </c>
      <c r="D29" s="94">
        <v>0</v>
      </c>
      <c r="E29" s="93">
        <v>85.3</v>
      </c>
      <c r="F29" s="94">
        <v>0</v>
      </c>
      <c r="G29" s="81">
        <v>23146.34</v>
      </c>
      <c r="H29" s="95">
        <v>18.04</v>
      </c>
      <c r="I29" s="83">
        <v>0</v>
      </c>
      <c r="J29" s="906">
        <v>0</v>
      </c>
      <c r="K29" s="1124">
        <v>0</v>
      </c>
      <c r="L29" s="1071">
        <f t="shared" ref="L29:L31" si="14">SUM(I29:K29)</f>
        <v>0</v>
      </c>
      <c r="M29" s="92" t="s">
        <v>60</v>
      </c>
      <c r="N29" s="79">
        <f t="shared" ref="N29" si="15">L29/G29*100</f>
        <v>0</v>
      </c>
    </row>
    <row r="30" spans="1:15" s="527" customFormat="1" ht="27.75" customHeight="1" x14ac:dyDescent="0.2">
      <c r="A30" s="1311"/>
      <c r="B30" s="1313"/>
      <c r="C30" s="669" t="s">
        <v>334</v>
      </c>
      <c r="D30" s="91">
        <v>0</v>
      </c>
      <c r="E30" s="75">
        <v>0</v>
      </c>
      <c r="F30" s="91">
        <v>0</v>
      </c>
      <c r="G30" s="76">
        <v>0</v>
      </c>
      <c r="H30" s="132">
        <v>25</v>
      </c>
      <c r="I30" s="1004">
        <v>0</v>
      </c>
      <c r="J30" s="1117">
        <v>0</v>
      </c>
      <c r="K30" s="1126">
        <v>0</v>
      </c>
      <c r="L30" s="1071">
        <f t="shared" si="14"/>
        <v>0</v>
      </c>
      <c r="M30" s="92" t="s">
        <v>60</v>
      </c>
      <c r="N30" s="79" t="s">
        <v>60</v>
      </c>
    </row>
    <row r="31" spans="1:15" s="527" customFormat="1" ht="27" customHeight="1" thickBot="1" x14ac:dyDescent="0.25">
      <c r="A31" s="1387"/>
      <c r="B31" s="1388"/>
      <c r="C31" s="669" t="s">
        <v>265</v>
      </c>
      <c r="D31" s="831">
        <v>6526</v>
      </c>
      <c r="E31" s="832">
        <v>4221.7299999999996</v>
      </c>
      <c r="F31" s="831">
        <v>6500</v>
      </c>
      <c r="G31" s="833">
        <v>6356.26</v>
      </c>
      <c r="H31" s="834">
        <v>2118.19</v>
      </c>
      <c r="I31" s="1127">
        <v>5000</v>
      </c>
      <c r="J31" s="1128">
        <v>0</v>
      </c>
      <c r="K31" s="1129">
        <v>0</v>
      </c>
      <c r="L31" s="1203">
        <f t="shared" si="14"/>
        <v>5000</v>
      </c>
      <c r="M31" s="92">
        <f t="shared" ref="M31" si="16">L31/F31*100</f>
        <v>76.923076923076934</v>
      </c>
      <c r="N31" s="79">
        <f t="shared" ref="N31" si="17">L31/G31*100</f>
        <v>78.662609773671932</v>
      </c>
    </row>
    <row r="32" spans="1:15" s="19" customFormat="1" ht="20.100000000000001" customHeight="1" thickBot="1" x14ac:dyDescent="0.3">
      <c r="A32" s="192"/>
      <c r="B32" s="417" t="s">
        <v>85</v>
      </c>
      <c r="C32" s="677"/>
      <c r="D32" s="183">
        <f>+D9+D18+D28</f>
        <v>14733</v>
      </c>
      <c r="E32" s="184">
        <f t="shared" ref="E32:L32" si="18">+E9+E18+E28</f>
        <v>23700.089999999997</v>
      </c>
      <c r="F32" s="183">
        <f t="shared" si="18"/>
        <v>20139</v>
      </c>
      <c r="G32" s="185">
        <f t="shared" si="18"/>
        <v>59789.16</v>
      </c>
      <c r="H32" s="184">
        <f t="shared" si="18"/>
        <v>15733.88</v>
      </c>
      <c r="I32" s="183">
        <f t="shared" si="18"/>
        <v>19946</v>
      </c>
      <c r="J32" s="982">
        <f t="shared" si="18"/>
        <v>279</v>
      </c>
      <c r="K32" s="193">
        <f t="shared" si="18"/>
        <v>115</v>
      </c>
      <c r="L32" s="1067">
        <f t="shared" si="18"/>
        <v>20340</v>
      </c>
      <c r="M32" s="194">
        <f>L32/F32*100</f>
        <v>100.99806345896023</v>
      </c>
      <c r="N32" s="187">
        <f>L32/G32*100</f>
        <v>34.019544680005538</v>
      </c>
      <c r="O32" s="18"/>
    </row>
    <row r="33" spans="1:15" ht="15" customHeight="1" x14ac:dyDescent="0.25">
      <c r="A33" s="20"/>
      <c r="B33" s="20"/>
      <c r="C33" s="20"/>
      <c r="D33" s="170"/>
      <c r="E33" s="169"/>
      <c r="F33" s="170"/>
      <c r="I33" s="23"/>
      <c r="J33" s="23"/>
      <c r="K33" s="23"/>
      <c r="L33" s="23"/>
      <c r="M33" s="24"/>
      <c r="N33" s="25"/>
      <c r="O33" s="17"/>
    </row>
    <row r="34" spans="1:15" x14ac:dyDescent="0.2">
      <c r="D34" s="3"/>
      <c r="F34" s="3"/>
      <c r="L34" s="3"/>
      <c r="M34" s="3"/>
    </row>
  </sheetData>
  <mergeCells count="19">
    <mergeCell ref="A2:N2"/>
    <mergeCell ref="A6:A7"/>
    <mergeCell ref="D6:E6"/>
    <mergeCell ref="F6:H6"/>
    <mergeCell ref="I6:L6"/>
    <mergeCell ref="M6:M7"/>
    <mergeCell ref="N6:N7"/>
    <mergeCell ref="B6:C7"/>
    <mergeCell ref="A28:A31"/>
    <mergeCell ref="B29:B31"/>
    <mergeCell ref="B28:C28"/>
    <mergeCell ref="B18:C18"/>
    <mergeCell ref="B9:C9"/>
    <mergeCell ref="B10:B15"/>
    <mergeCell ref="B19:B25"/>
    <mergeCell ref="A9:A17"/>
    <mergeCell ref="A18:A27"/>
    <mergeCell ref="B16:B17"/>
    <mergeCell ref="B26:B27"/>
  </mergeCells>
  <dataValidations count="1">
    <dataValidation type="whole" operator="greaterThanOrEqual" allowBlank="1" showInputMessage="1" showErrorMessage="1" error="Nutno zadat celé číslo" sqref="I14:K14" xr:uid="{D0C15F7A-694E-48A7-B259-BEC8A374E1F2}">
      <formula1>0</formula1>
    </dataValidation>
  </dataValidation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42"/>
  <sheetViews>
    <sheetView workbookViewId="0"/>
  </sheetViews>
  <sheetFormatPr defaultRowHeight="12.75" x14ac:dyDescent="0.2"/>
  <cols>
    <col min="1" max="1" width="7.7109375" style="1" customWidth="1"/>
    <col min="2" max="2" width="46.7109375" style="1" customWidth="1"/>
    <col min="3" max="3" width="14.7109375" style="2" customWidth="1"/>
    <col min="4" max="4" width="14.7109375" style="3" customWidth="1"/>
    <col min="5" max="5" width="14.7109375" style="2" customWidth="1"/>
    <col min="6" max="8" width="14.7109375" style="3" customWidth="1"/>
    <col min="9" max="9" width="15.42578125" style="3" customWidth="1"/>
    <col min="10" max="10" width="14.7109375" style="3" customWidth="1"/>
    <col min="11" max="11" width="14.7109375" style="843" customWidth="1"/>
    <col min="12" max="13" width="9.7109375" style="5" customWidth="1"/>
    <col min="14" max="256" width="9.140625" style="1"/>
    <col min="257" max="257" width="8.7109375" style="1" customWidth="1"/>
    <col min="258" max="258" width="41.5703125" style="1" customWidth="1"/>
    <col min="259" max="259" width="13.28515625" style="1" customWidth="1"/>
    <col min="260" max="260" width="14.7109375" style="1" customWidth="1"/>
    <col min="261" max="261" width="13.42578125" style="1" customWidth="1"/>
    <col min="262" max="266" width="14.7109375" style="1" customWidth="1"/>
    <col min="267" max="267" width="16.7109375" style="1" customWidth="1"/>
    <col min="268" max="268" width="9.85546875" style="1" customWidth="1"/>
    <col min="269" max="269" width="7.42578125" style="1" customWidth="1"/>
    <col min="270" max="512" width="9.140625" style="1"/>
    <col min="513" max="513" width="8.7109375" style="1" customWidth="1"/>
    <col min="514" max="514" width="41.5703125" style="1" customWidth="1"/>
    <col min="515" max="515" width="13.28515625" style="1" customWidth="1"/>
    <col min="516" max="516" width="14.7109375" style="1" customWidth="1"/>
    <col min="517" max="517" width="13.42578125" style="1" customWidth="1"/>
    <col min="518" max="522" width="14.7109375" style="1" customWidth="1"/>
    <col min="523" max="523" width="16.7109375" style="1" customWidth="1"/>
    <col min="524" max="524" width="9.85546875" style="1" customWidth="1"/>
    <col min="525" max="525" width="7.42578125" style="1" customWidth="1"/>
    <col min="526" max="768" width="9.140625" style="1"/>
    <col min="769" max="769" width="8.7109375" style="1" customWidth="1"/>
    <col min="770" max="770" width="41.5703125" style="1" customWidth="1"/>
    <col min="771" max="771" width="13.28515625" style="1" customWidth="1"/>
    <col min="772" max="772" width="14.7109375" style="1" customWidth="1"/>
    <col min="773" max="773" width="13.42578125" style="1" customWidth="1"/>
    <col min="774" max="778" width="14.7109375" style="1" customWidth="1"/>
    <col min="779" max="779" width="16.7109375" style="1" customWidth="1"/>
    <col min="780" max="780" width="9.85546875" style="1" customWidth="1"/>
    <col min="781" max="781" width="7.42578125" style="1" customWidth="1"/>
    <col min="782" max="1024" width="9.140625" style="1"/>
    <col min="1025" max="1025" width="8.7109375" style="1" customWidth="1"/>
    <col min="1026" max="1026" width="41.5703125" style="1" customWidth="1"/>
    <col min="1027" max="1027" width="13.28515625" style="1" customWidth="1"/>
    <col min="1028" max="1028" width="14.7109375" style="1" customWidth="1"/>
    <col min="1029" max="1029" width="13.42578125" style="1" customWidth="1"/>
    <col min="1030" max="1034" width="14.7109375" style="1" customWidth="1"/>
    <col min="1035" max="1035" width="16.7109375" style="1" customWidth="1"/>
    <col min="1036" max="1036" width="9.85546875" style="1" customWidth="1"/>
    <col min="1037" max="1037" width="7.42578125" style="1" customWidth="1"/>
    <col min="1038" max="1280" width="9.140625" style="1"/>
    <col min="1281" max="1281" width="8.7109375" style="1" customWidth="1"/>
    <col min="1282" max="1282" width="41.5703125" style="1" customWidth="1"/>
    <col min="1283" max="1283" width="13.28515625" style="1" customWidth="1"/>
    <col min="1284" max="1284" width="14.7109375" style="1" customWidth="1"/>
    <col min="1285" max="1285" width="13.42578125" style="1" customWidth="1"/>
    <col min="1286" max="1290" width="14.7109375" style="1" customWidth="1"/>
    <col min="1291" max="1291" width="16.7109375" style="1" customWidth="1"/>
    <col min="1292" max="1292" width="9.85546875" style="1" customWidth="1"/>
    <col min="1293" max="1293" width="7.42578125" style="1" customWidth="1"/>
    <col min="1294" max="1536" width="9.140625" style="1"/>
    <col min="1537" max="1537" width="8.7109375" style="1" customWidth="1"/>
    <col min="1538" max="1538" width="41.5703125" style="1" customWidth="1"/>
    <col min="1539" max="1539" width="13.28515625" style="1" customWidth="1"/>
    <col min="1540" max="1540" width="14.7109375" style="1" customWidth="1"/>
    <col min="1541" max="1541" width="13.42578125" style="1" customWidth="1"/>
    <col min="1542" max="1546" width="14.7109375" style="1" customWidth="1"/>
    <col min="1547" max="1547" width="16.7109375" style="1" customWidth="1"/>
    <col min="1548" max="1548" width="9.85546875" style="1" customWidth="1"/>
    <col min="1549" max="1549" width="7.42578125" style="1" customWidth="1"/>
    <col min="1550" max="1792" width="9.140625" style="1"/>
    <col min="1793" max="1793" width="8.7109375" style="1" customWidth="1"/>
    <col min="1794" max="1794" width="41.5703125" style="1" customWidth="1"/>
    <col min="1795" max="1795" width="13.28515625" style="1" customWidth="1"/>
    <col min="1796" max="1796" width="14.7109375" style="1" customWidth="1"/>
    <col min="1797" max="1797" width="13.42578125" style="1" customWidth="1"/>
    <col min="1798" max="1802" width="14.7109375" style="1" customWidth="1"/>
    <col min="1803" max="1803" width="16.7109375" style="1" customWidth="1"/>
    <col min="1804" max="1804" width="9.85546875" style="1" customWidth="1"/>
    <col min="1805" max="1805" width="7.42578125" style="1" customWidth="1"/>
    <col min="1806" max="2048" width="9.140625" style="1"/>
    <col min="2049" max="2049" width="8.7109375" style="1" customWidth="1"/>
    <col min="2050" max="2050" width="41.5703125" style="1" customWidth="1"/>
    <col min="2051" max="2051" width="13.28515625" style="1" customWidth="1"/>
    <col min="2052" max="2052" width="14.7109375" style="1" customWidth="1"/>
    <col min="2053" max="2053" width="13.42578125" style="1" customWidth="1"/>
    <col min="2054" max="2058" width="14.7109375" style="1" customWidth="1"/>
    <col min="2059" max="2059" width="16.7109375" style="1" customWidth="1"/>
    <col min="2060" max="2060" width="9.85546875" style="1" customWidth="1"/>
    <col min="2061" max="2061" width="7.42578125" style="1" customWidth="1"/>
    <col min="2062" max="2304" width="9.140625" style="1"/>
    <col min="2305" max="2305" width="8.7109375" style="1" customWidth="1"/>
    <col min="2306" max="2306" width="41.5703125" style="1" customWidth="1"/>
    <col min="2307" max="2307" width="13.28515625" style="1" customWidth="1"/>
    <col min="2308" max="2308" width="14.7109375" style="1" customWidth="1"/>
    <col min="2309" max="2309" width="13.42578125" style="1" customWidth="1"/>
    <col min="2310" max="2314" width="14.7109375" style="1" customWidth="1"/>
    <col min="2315" max="2315" width="16.7109375" style="1" customWidth="1"/>
    <col min="2316" max="2316" width="9.85546875" style="1" customWidth="1"/>
    <col min="2317" max="2317" width="7.42578125" style="1" customWidth="1"/>
    <col min="2318" max="2560" width="9.140625" style="1"/>
    <col min="2561" max="2561" width="8.7109375" style="1" customWidth="1"/>
    <col min="2562" max="2562" width="41.5703125" style="1" customWidth="1"/>
    <col min="2563" max="2563" width="13.28515625" style="1" customWidth="1"/>
    <col min="2564" max="2564" width="14.7109375" style="1" customWidth="1"/>
    <col min="2565" max="2565" width="13.42578125" style="1" customWidth="1"/>
    <col min="2566" max="2570" width="14.7109375" style="1" customWidth="1"/>
    <col min="2571" max="2571" width="16.7109375" style="1" customWidth="1"/>
    <col min="2572" max="2572" width="9.85546875" style="1" customWidth="1"/>
    <col min="2573" max="2573" width="7.42578125" style="1" customWidth="1"/>
    <col min="2574" max="2816" width="9.140625" style="1"/>
    <col min="2817" max="2817" width="8.7109375" style="1" customWidth="1"/>
    <col min="2818" max="2818" width="41.5703125" style="1" customWidth="1"/>
    <col min="2819" max="2819" width="13.28515625" style="1" customWidth="1"/>
    <col min="2820" max="2820" width="14.7109375" style="1" customWidth="1"/>
    <col min="2821" max="2821" width="13.42578125" style="1" customWidth="1"/>
    <col min="2822" max="2826" width="14.7109375" style="1" customWidth="1"/>
    <col min="2827" max="2827" width="16.7109375" style="1" customWidth="1"/>
    <col min="2828" max="2828" width="9.85546875" style="1" customWidth="1"/>
    <col min="2829" max="2829" width="7.42578125" style="1" customWidth="1"/>
    <col min="2830" max="3072" width="9.140625" style="1"/>
    <col min="3073" max="3073" width="8.7109375" style="1" customWidth="1"/>
    <col min="3074" max="3074" width="41.5703125" style="1" customWidth="1"/>
    <col min="3075" max="3075" width="13.28515625" style="1" customWidth="1"/>
    <col min="3076" max="3076" width="14.7109375" style="1" customWidth="1"/>
    <col min="3077" max="3077" width="13.42578125" style="1" customWidth="1"/>
    <col min="3078" max="3082" width="14.7109375" style="1" customWidth="1"/>
    <col min="3083" max="3083" width="16.7109375" style="1" customWidth="1"/>
    <col min="3084" max="3084" width="9.85546875" style="1" customWidth="1"/>
    <col min="3085" max="3085" width="7.42578125" style="1" customWidth="1"/>
    <col min="3086" max="3328" width="9.140625" style="1"/>
    <col min="3329" max="3329" width="8.7109375" style="1" customWidth="1"/>
    <col min="3330" max="3330" width="41.5703125" style="1" customWidth="1"/>
    <col min="3331" max="3331" width="13.28515625" style="1" customWidth="1"/>
    <col min="3332" max="3332" width="14.7109375" style="1" customWidth="1"/>
    <col min="3333" max="3333" width="13.42578125" style="1" customWidth="1"/>
    <col min="3334" max="3338" width="14.7109375" style="1" customWidth="1"/>
    <col min="3339" max="3339" width="16.7109375" style="1" customWidth="1"/>
    <col min="3340" max="3340" width="9.85546875" style="1" customWidth="1"/>
    <col min="3341" max="3341" width="7.42578125" style="1" customWidth="1"/>
    <col min="3342" max="3584" width="9.140625" style="1"/>
    <col min="3585" max="3585" width="8.7109375" style="1" customWidth="1"/>
    <col min="3586" max="3586" width="41.5703125" style="1" customWidth="1"/>
    <col min="3587" max="3587" width="13.28515625" style="1" customWidth="1"/>
    <col min="3588" max="3588" width="14.7109375" style="1" customWidth="1"/>
    <col min="3589" max="3589" width="13.42578125" style="1" customWidth="1"/>
    <col min="3590" max="3594" width="14.7109375" style="1" customWidth="1"/>
    <col min="3595" max="3595" width="16.7109375" style="1" customWidth="1"/>
    <col min="3596" max="3596" width="9.85546875" style="1" customWidth="1"/>
    <col min="3597" max="3597" width="7.42578125" style="1" customWidth="1"/>
    <col min="3598" max="3840" width="9.140625" style="1"/>
    <col min="3841" max="3841" width="8.7109375" style="1" customWidth="1"/>
    <col min="3842" max="3842" width="41.5703125" style="1" customWidth="1"/>
    <col min="3843" max="3843" width="13.28515625" style="1" customWidth="1"/>
    <col min="3844" max="3844" width="14.7109375" style="1" customWidth="1"/>
    <col min="3845" max="3845" width="13.42578125" style="1" customWidth="1"/>
    <col min="3846" max="3850" width="14.7109375" style="1" customWidth="1"/>
    <col min="3851" max="3851" width="16.7109375" style="1" customWidth="1"/>
    <col min="3852" max="3852" width="9.85546875" style="1" customWidth="1"/>
    <col min="3853" max="3853" width="7.42578125" style="1" customWidth="1"/>
    <col min="3854" max="4096" width="9.140625" style="1"/>
    <col min="4097" max="4097" width="8.7109375" style="1" customWidth="1"/>
    <col min="4098" max="4098" width="41.5703125" style="1" customWidth="1"/>
    <col min="4099" max="4099" width="13.28515625" style="1" customWidth="1"/>
    <col min="4100" max="4100" width="14.7109375" style="1" customWidth="1"/>
    <col min="4101" max="4101" width="13.42578125" style="1" customWidth="1"/>
    <col min="4102" max="4106" width="14.7109375" style="1" customWidth="1"/>
    <col min="4107" max="4107" width="16.7109375" style="1" customWidth="1"/>
    <col min="4108" max="4108" width="9.85546875" style="1" customWidth="1"/>
    <col min="4109" max="4109" width="7.42578125" style="1" customWidth="1"/>
    <col min="4110" max="4352" width="9.140625" style="1"/>
    <col min="4353" max="4353" width="8.7109375" style="1" customWidth="1"/>
    <col min="4354" max="4354" width="41.5703125" style="1" customWidth="1"/>
    <col min="4355" max="4355" width="13.28515625" style="1" customWidth="1"/>
    <col min="4356" max="4356" width="14.7109375" style="1" customWidth="1"/>
    <col min="4357" max="4357" width="13.42578125" style="1" customWidth="1"/>
    <col min="4358" max="4362" width="14.7109375" style="1" customWidth="1"/>
    <col min="4363" max="4363" width="16.7109375" style="1" customWidth="1"/>
    <col min="4364" max="4364" width="9.85546875" style="1" customWidth="1"/>
    <col min="4365" max="4365" width="7.42578125" style="1" customWidth="1"/>
    <col min="4366" max="4608" width="9.140625" style="1"/>
    <col min="4609" max="4609" width="8.7109375" style="1" customWidth="1"/>
    <col min="4610" max="4610" width="41.5703125" style="1" customWidth="1"/>
    <col min="4611" max="4611" width="13.28515625" style="1" customWidth="1"/>
    <col min="4612" max="4612" width="14.7109375" style="1" customWidth="1"/>
    <col min="4613" max="4613" width="13.42578125" style="1" customWidth="1"/>
    <col min="4614" max="4618" width="14.7109375" style="1" customWidth="1"/>
    <col min="4619" max="4619" width="16.7109375" style="1" customWidth="1"/>
    <col min="4620" max="4620" width="9.85546875" style="1" customWidth="1"/>
    <col min="4621" max="4621" width="7.42578125" style="1" customWidth="1"/>
    <col min="4622" max="4864" width="9.140625" style="1"/>
    <col min="4865" max="4865" width="8.7109375" style="1" customWidth="1"/>
    <col min="4866" max="4866" width="41.5703125" style="1" customWidth="1"/>
    <col min="4867" max="4867" width="13.28515625" style="1" customWidth="1"/>
    <col min="4868" max="4868" width="14.7109375" style="1" customWidth="1"/>
    <col min="4869" max="4869" width="13.42578125" style="1" customWidth="1"/>
    <col min="4870" max="4874" width="14.7109375" style="1" customWidth="1"/>
    <col min="4875" max="4875" width="16.7109375" style="1" customWidth="1"/>
    <col min="4876" max="4876" width="9.85546875" style="1" customWidth="1"/>
    <col min="4877" max="4877" width="7.42578125" style="1" customWidth="1"/>
    <col min="4878" max="5120" width="9.140625" style="1"/>
    <col min="5121" max="5121" width="8.7109375" style="1" customWidth="1"/>
    <col min="5122" max="5122" width="41.5703125" style="1" customWidth="1"/>
    <col min="5123" max="5123" width="13.28515625" style="1" customWidth="1"/>
    <col min="5124" max="5124" width="14.7109375" style="1" customWidth="1"/>
    <col min="5125" max="5125" width="13.42578125" style="1" customWidth="1"/>
    <col min="5126" max="5130" width="14.7109375" style="1" customWidth="1"/>
    <col min="5131" max="5131" width="16.7109375" style="1" customWidth="1"/>
    <col min="5132" max="5132" width="9.85546875" style="1" customWidth="1"/>
    <col min="5133" max="5133" width="7.42578125" style="1" customWidth="1"/>
    <col min="5134" max="5376" width="9.140625" style="1"/>
    <col min="5377" max="5377" width="8.7109375" style="1" customWidth="1"/>
    <col min="5378" max="5378" width="41.5703125" style="1" customWidth="1"/>
    <col min="5379" max="5379" width="13.28515625" style="1" customWidth="1"/>
    <col min="5380" max="5380" width="14.7109375" style="1" customWidth="1"/>
    <col min="5381" max="5381" width="13.42578125" style="1" customWidth="1"/>
    <col min="5382" max="5386" width="14.7109375" style="1" customWidth="1"/>
    <col min="5387" max="5387" width="16.7109375" style="1" customWidth="1"/>
    <col min="5388" max="5388" width="9.85546875" style="1" customWidth="1"/>
    <col min="5389" max="5389" width="7.42578125" style="1" customWidth="1"/>
    <col min="5390" max="5632" width="9.140625" style="1"/>
    <col min="5633" max="5633" width="8.7109375" style="1" customWidth="1"/>
    <col min="5634" max="5634" width="41.5703125" style="1" customWidth="1"/>
    <col min="5635" max="5635" width="13.28515625" style="1" customWidth="1"/>
    <col min="5636" max="5636" width="14.7109375" style="1" customWidth="1"/>
    <col min="5637" max="5637" width="13.42578125" style="1" customWidth="1"/>
    <col min="5638" max="5642" width="14.7109375" style="1" customWidth="1"/>
    <col min="5643" max="5643" width="16.7109375" style="1" customWidth="1"/>
    <col min="5644" max="5644" width="9.85546875" style="1" customWidth="1"/>
    <col min="5645" max="5645" width="7.42578125" style="1" customWidth="1"/>
    <col min="5646" max="5888" width="9.140625" style="1"/>
    <col min="5889" max="5889" width="8.7109375" style="1" customWidth="1"/>
    <col min="5890" max="5890" width="41.5703125" style="1" customWidth="1"/>
    <col min="5891" max="5891" width="13.28515625" style="1" customWidth="1"/>
    <col min="5892" max="5892" width="14.7109375" style="1" customWidth="1"/>
    <col min="5893" max="5893" width="13.42578125" style="1" customWidth="1"/>
    <col min="5894" max="5898" width="14.7109375" style="1" customWidth="1"/>
    <col min="5899" max="5899" width="16.7109375" style="1" customWidth="1"/>
    <col min="5900" max="5900" width="9.85546875" style="1" customWidth="1"/>
    <col min="5901" max="5901" width="7.42578125" style="1" customWidth="1"/>
    <col min="5902" max="6144" width="9.140625" style="1"/>
    <col min="6145" max="6145" width="8.7109375" style="1" customWidth="1"/>
    <col min="6146" max="6146" width="41.5703125" style="1" customWidth="1"/>
    <col min="6147" max="6147" width="13.28515625" style="1" customWidth="1"/>
    <col min="6148" max="6148" width="14.7109375" style="1" customWidth="1"/>
    <col min="6149" max="6149" width="13.42578125" style="1" customWidth="1"/>
    <col min="6150" max="6154" width="14.7109375" style="1" customWidth="1"/>
    <col min="6155" max="6155" width="16.7109375" style="1" customWidth="1"/>
    <col min="6156" max="6156" width="9.85546875" style="1" customWidth="1"/>
    <col min="6157" max="6157" width="7.42578125" style="1" customWidth="1"/>
    <col min="6158" max="6400" width="9.140625" style="1"/>
    <col min="6401" max="6401" width="8.7109375" style="1" customWidth="1"/>
    <col min="6402" max="6402" width="41.5703125" style="1" customWidth="1"/>
    <col min="6403" max="6403" width="13.28515625" style="1" customWidth="1"/>
    <col min="6404" max="6404" width="14.7109375" style="1" customWidth="1"/>
    <col min="6405" max="6405" width="13.42578125" style="1" customWidth="1"/>
    <col min="6406" max="6410" width="14.7109375" style="1" customWidth="1"/>
    <col min="6411" max="6411" width="16.7109375" style="1" customWidth="1"/>
    <col min="6412" max="6412" width="9.85546875" style="1" customWidth="1"/>
    <col min="6413" max="6413" width="7.42578125" style="1" customWidth="1"/>
    <col min="6414" max="6656" width="9.140625" style="1"/>
    <col min="6657" max="6657" width="8.7109375" style="1" customWidth="1"/>
    <col min="6658" max="6658" width="41.5703125" style="1" customWidth="1"/>
    <col min="6659" max="6659" width="13.28515625" style="1" customWidth="1"/>
    <col min="6660" max="6660" width="14.7109375" style="1" customWidth="1"/>
    <col min="6661" max="6661" width="13.42578125" style="1" customWidth="1"/>
    <col min="6662" max="6666" width="14.7109375" style="1" customWidth="1"/>
    <col min="6667" max="6667" width="16.7109375" style="1" customWidth="1"/>
    <col min="6668" max="6668" width="9.85546875" style="1" customWidth="1"/>
    <col min="6669" max="6669" width="7.42578125" style="1" customWidth="1"/>
    <col min="6670" max="6912" width="9.140625" style="1"/>
    <col min="6913" max="6913" width="8.7109375" style="1" customWidth="1"/>
    <col min="6914" max="6914" width="41.5703125" style="1" customWidth="1"/>
    <col min="6915" max="6915" width="13.28515625" style="1" customWidth="1"/>
    <col min="6916" max="6916" width="14.7109375" style="1" customWidth="1"/>
    <col min="6917" max="6917" width="13.42578125" style="1" customWidth="1"/>
    <col min="6918" max="6922" width="14.7109375" style="1" customWidth="1"/>
    <col min="6923" max="6923" width="16.7109375" style="1" customWidth="1"/>
    <col min="6924" max="6924" width="9.85546875" style="1" customWidth="1"/>
    <col min="6925" max="6925" width="7.42578125" style="1" customWidth="1"/>
    <col min="6926" max="7168" width="9.140625" style="1"/>
    <col min="7169" max="7169" width="8.7109375" style="1" customWidth="1"/>
    <col min="7170" max="7170" width="41.5703125" style="1" customWidth="1"/>
    <col min="7171" max="7171" width="13.28515625" style="1" customWidth="1"/>
    <col min="7172" max="7172" width="14.7109375" style="1" customWidth="1"/>
    <col min="7173" max="7173" width="13.42578125" style="1" customWidth="1"/>
    <col min="7174" max="7178" width="14.7109375" style="1" customWidth="1"/>
    <col min="7179" max="7179" width="16.7109375" style="1" customWidth="1"/>
    <col min="7180" max="7180" width="9.85546875" style="1" customWidth="1"/>
    <col min="7181" max="7181" width="7.42578125" style="1" customWidth="1"/>
    <col min="7182" max="7424" width="9.140625" style="1"/>
    <col min="7425" max="7425" width="8.7109375" style="1" customWidth="1"/>
    <col min="7426" max="7426" width="41.5703125" style="1" customWidth="1"/>
    <col min="7427" max="7427" width="13.28515625" style="1" customWidth="1"/>
    <col min="7428" max="7428" width="14.7109375" style="1" customWidth="1"/>
    <col min="7429" max="7429" width="13.42578125" style="1" customWidth="1"/>
    <col min="7430" max="7434" width="14.7109375" style="1" customWidth="1"/>
    <col min="7435" max="7435" width="16.7109375" style="1" customWidth="1"/>
    <col min="7436" max="7436" width="9.85546875" style="1" customWidth="1"/>
    <col min="7437" max="7437" width="7.42578125" style="1" customWidth="1"/>
    <col min="7438" max="7680" width="9.140625" style="1"/>
    <col min="7681" max="7681" width="8.7109375" style="1" customWidth="1"/>
    <col min="7682" max="7682" width="41.5703125" style="1" customWidth="1"/>
    <col min="7683" max="7683" width="13.28515625" style="1" customWidth="1"/>
    <col min="7684" max="7684" width="14.7109375" style="1" customWidth="1"/>
    <col min="7685" max="7685" width="13.42578125" style="1" customWidth="1"/>
    <col min="7686" max="7690" width="14.7109375" style="1" customWidth="1"/>
    <col min="7691" max="7691" width="16.7109375" style="1" customWidth="1"/>
    <col min="7692" max="7692" width="9.85546875" style="1" customWidth="1"/>
    <col min="7693" max="7693" width="7.42578125" style="1" customWidth="1"/>
    <col min="7694" max="7936" width="9.140625" style="1"/>
    <col min="7937" max="7937" width="8.7109375" style="1" customWidth="1"/>
    <col min="7938" max="7938" width="41.5703125" style="1" customWidth="1"/>
    <col min="7939" max="7939" width="13.28515625" style="1" customWidth="1"/>
    <col min="7940" max="7940" width="14.7109375" style="1" customWidth="1"/>
    <col min="7941" max="7941" width="13.42578125" style="1" customWidth="1"/>
    <col min="7942" max="7946" width="14.7109375" style="1" customWidth="1"/>
    <col min="7947" max="7947" width="16.7109375" style="1" customWidth="1"/>
    <col min="7948" max="7948" width="9.85546875" style="1" customWidth="1"/>
    <col min="7949" max="7949" width="7.42578125" style="1" customWidth="1"/>
    <col min="7950" max="8192" width="9.140625" style="1"/>
    <col min="8193" max="8193" width="8.7109375" style="1" customWidth="1"/>
    <col min="8194" max="8194" width="41.5703125" style="1" customWidth="1"/>
    <col min="8195" max="8195" width="13.28515625" style="1" customWidth="1"/>
    <col min="8196" max="8196" width="14.7109375" style="1" customWidth="1"/>
    <col min="8197" max="8197" width="13.42578125" style="1" customWidth="1"/>
    <col min="8198" max="8202" width="14.7109375" style="1" customWidth="1"/>
    <col min="8203" max="8203" width="16.7109375" style="1" customWidth="1"/>
    <col min="8204" max="8204" width="9.85546875" style="1" customWidth="1"/>
    <col min="8205" max="8205" width="7.42578125" style="1" customWidth="1"/>
    <col min="8206" max="8448" width="9.140625" style="1"/>
    <col min="8449" max="8449" width="8.7109375" style="1" customWidth="1"/>
    <col min="8450" max="8450" width="41.5703125" style="1" customWidth="1"/>
    <col min="8451" max="8451" width="13.28515625" style="1" customWidth="1"/>
    <col min="8452" max="8452" width="14.7109375" style="1" customWidth="1"/>
    <col min="8453" max="8453" width="13.42578125" style="1" customWidth="1"/>
    <col min="8454" max="8458" width="14.7109375" style="1" customWidth="1"/>
    <col min="8459" max="8459" width="16.7109375" style="1" customWidth="1"/>
    <col min="8460" max="8460" width="9.85546875" style="1" customWidth="1"/>
    <col min="8461" max="8461" width="7.42578125" style="1" customWidth="1"/>
    <col min="8462" max="8704" width="9.140625" style="1"/>
    <col min="8705" max="8705" width="8.7109375" style="1" customWidth="1"/>
    <col min="8706" max="8706" width="41.5703125" style="1" customWidth="1"/>
    <col min="8707" max="8707" width="13.28515625" style="1" customWidth="1"/>
    <col min="8708" max="8708" width="14.7109375" style="1" customWidth="1"/>
    <col min="8709" max="8709" width="13.42578125" style="1" customWidth="1"/>
    <col min="8710" max="8714" width="14.7109375" style="1" customWidth="1"/>
    <col min="8715" max="8715" width="16.7109375" style="1" customWidth="1"/>
    <col min="8716" max="8716" width="9.85546875" style="1" customWidth="1"/>
    <col min="8717" max="8717" width="7.42578125" style="1" customWidth="1"/>
    <col min="8718" max="8960" width="9.140625" style="1"/>
    <col min="8961" max="8961" width="8.7109375" style="1" customWidth="1"/>
    <col min="8962" max="8962" width="41.5703125" style="1" customWidth="1"/>
    <col min="8963" max="8963" width="13.28515625" style="1" customWidth="1"/>
    <col min="8964" max="8964" width="14.7109375" style="1" customWidth="1"/>
    <col min="8965" max="8965" width="13.42578125" style="1" customWidth="1"/>
    <col min="8966" max="8970" width="14.7109375" style="1" customWidth="1"/>
    <col min="8971" max="8971" width="16.7109375" style="1" customWidth="1"/>
    <col min="8972" max="8972" width="9.85546875" style="1" customWidth="1"/>
    <col min="8973" max="8973" width="7.42578125" style="1" customWidth="1"/>
    <col min="8974" max="9216" width="9.140625" style="1"/>
    <col min="9217" max="9217" width="8.7109375" style="1" customWidth="1"/>
    <col min="9218" max="9218" width="41.5703125" style="1" customWidth="1"/>
    <col min="9219" max="9219" width="13.28515625" style="1" customWidth="1"/>
    <col min="9220" max="9220" width="14.7109375" style="1" customWidth="1"/>
    <col min="9221" max="9221" width="13.42578125" style="1" customWidth="1"/>
    <col min="9222" max="9226" width="14.7109375" style="1" customWidth="1"/>
    <col min="9227" max="9227" width="16.7109375" style="1" customWidth="1"/>
    <col min="9228" max="9228" width="9.85546875" style="1" customWidth="1"/>
    <col min="9229" max="9229" width="7.42578125" style="1" customWidth="1"/>
    <col min="9230" max="9472" width="9.140625" style="1"/>
    <col min="9473" max="9473" width="8.7109375" style="1" customWidth="1"/>
    <col min="9474" max="9474" width="41.5703125" style="1" customWidth="1"/>
    <col min="9475" max="9475" width="13.28515625" style="1" customWidth="1"/>
    <col min="9476" max="9476" width="14.7109375" style="1" customWidth="1"/>
    <col min="9477" max="9477" width="13.42578125" style="1" customWidth="1"/>
    <col min="9478" max="9482" width="14.7109375" style="1" customWidth="1"/>
    <col min="9483" max="9483" width="16.7109375" style="1" customWidth="1"/>
    <col min="9484" max="9484" width="9.85546875" style="1" customWidth="1"/>
    <col min="9485" max="9485" width="7.42578125" style="1" customWidth="1"/>
    <col min="9486" max="9728" width="9.140625" style="1"/>
    <col min="9729" max="9729" width="8.7109375" style="1" customWidth="1"/>
    <col min="9730" max="9730" width="41.5703125" style="1" customWidth="1"/>
    <col min="9731" max="9731" width="13.28515625" style="1" customWidth="1"/>
    <col min="9732" max="9732" width="14.7109375" style="1" customWidth="1"/>
    <col min="9733" max="9733" width="13.42578125" style="1" customWidth="1"/>
    <col min="9734" max="9738" width="14.7109375" style="1" customWidth="1"/>
    <col min="9739" max="9739" width="16.7109375" style="1" customWidth="1"/>
    <col min="9740" max="9740" width="9.85546875" style="1" customWidth="1"/>
    <col min="9741" max="9741" width="7.42578125" style="1" customWidth="1"/>
    <col min="9742" max="9984" width="9.140625" style="1"/>
    <col min="9985" max="9985" width="8.7109375" style="1" customWidth="1"/>
    <col min="9986" max="9986" width="41.5703125" style="1" customWidth="1"/>
    <col min="9987" max="9987" width="13.28515625" style="1" customWidth="1"/>
    <col min="9988" max="9988" width="14.7109375" style="1" customWidth="1"/>
    <col min="9989" max="9989" width="13.42578125" style="1" customWidth="1"/>
    <col min="9990" max="9994" width="14.7109375" style="1" customWidth="1"/>
    <col min="9995" max="9995" width="16.7109375" style="1" customWidth="1"/>
    <col min="9996" max="9996" width="9.85546875" style="1" customWidth="1"/>
    <col min="9997" max="9997" width="7.42578125" style="1" customWidth="1"/>
    <col min="9998" max="10240" width="9.140625" style="1"/>
    <col min="10241" max="10241" width="8.7109375" style="1" customWidth="1"/>
    <col min="10242" max="10242" width="41.5703125" style="1" customWidth="1"/>
    <col min="10243" max="10243" width="13.28515625" style="1" customWidth="1"/>
    <col min="10244" max="10244" width="14.7109375" style="1" customWidth="1"/>
    <col min="10245" max="10245" width="13.42578125" style="1" customWidth="1"/>
    <col min="10246" max="10250" width="14.7109375" style="1" customWidth="1"/>
    <col min="10251" max="10251" width="16.7109375" style="1" customWidth="1"/>
    <col min="10252" max="10252" width="9.85546875" style="1" customWidth="1"/>
    <col min="10253" max="10253" width="7.42578125" style="1" customWidth="1"/>
    <col min="10254" max="10496" width="9.140625" style="1"/>
    <col min="10497" max="10497" width="8.7109375" style="1" customWidth="1"/>
    <col min="10498" max="10498" width="41.5703125" style="1" customWidth="1"/>
    <col min="10499" max="10499" width="13.28515625" style="1" customWidth="1"/>
    <col min="10500" max="10500" width="14.7109375" style="1" customWidth="1"/>
    <col min="10501" max="10501" width="13.42578125" style="1" customWidth="1"/>
    <col min="10502" max="10506" width="14.7109375" style="1" customWidth="1"/>
    <col min="10507" max="10507" width="16.7109375" style="1" customWidth="1"/>
    <col min="10508" max="10508" width="9.85546875" style="1" customWidth="1"/>
    <col min="10509" max="10509" width="7.42578125" style="1" customWidth="1"/>
    <col min="10510" max="10752" width="9.140625" style="1"/>
    <col min="10753" max="10753" width="8.7109375" style="1" customWidth="1"/>
    <col min="10754" max="10754" width="41.5703125" style="1" customWidth="1"/>
    <col min="10755" max="10755" width="13.28515625" style="1" customWidth="1"/>
    <col min="10756" max="10756" width="14.7109375" style="1" customWidth="1"/>
    <col min="10757" max="10757" width="13.42578125" style="1" customWidth="1"/>
    <col min="10758" max="10762" width="14.7109375" style="1" customWidth="1"/>
    <col min="10763" max="10763" width="16.7109375" style="1" customWidth="1"/>
    <col min="10764" max="10764" width="9.85546875" style="1" customWidth="1"/>
    <col min="10765" max="10765" width="7.42578125" style="1" customWidth="1"/>
    <col min="10766" max="11008" width="9.140625" style="1"/>
    <col min="11009" max="11009" width="8.7109375" style="1" customWidth="1"/>
    <col min="11010" max="11010" width="41.5703125" style="1" customWidth="1"/>
    <col min="11011" max="11011" width="13.28515625" style="1" customWidth="1"/>
    <col min="11012" max="11012" width="14.7109375" style="1" customWidth="1"/>
    <col min="11013" max="11013" width="13.42578125" style="1" customWidth="1"/>
    <col min="11014" max="11018" width="14.7109375" style="1" customWidth="1"/>
    <col min="11019" max="11019" width="16.7109375" style="1" customWidth="1"/>
    <col min="11020" max="11020" width="9.85546875" style="1" customWidth="1"/>
    <col min="11021" max="11021" width="7.42578125" style="1" customWidth="1"/>
    <col min="11022" max="11264" width="9.140625" style="1"/>
    <col min="11265" max="11265" width="8.7109375" style="1" customWidth="1"/>
    <col min="11266" max="11266" width="41.5703125" style="1" customWidth="1"/>
    <col min="11267" max="11267" width="13.28515625" style="1" customWidth="1"/>
    <col min="11268" max="11268" width="14.7109375" style="1" customWidth="1"/>
    <col min="11269" max="11269" width="13.42578125" style="1" customWidth="1"/>
    <col min="11270" max="11274" width="14.7109375" style="1" customWidth="1"/>
    <col min="11275" max="11275" width="16.7109375" style="1" customWidth="1"/>
    <col min="11276" max="11276" width="9.85546875" style="1" customWidth="1"/>
    <col min="11277" max="11277" width="7.42578125" style="1" customWidth="1"/>
    <col min="11278" max="11520" width="9.140625" style="1"/>
    <col min="11521" max="11521" width="8.7109375" style="1" customWidth="1"/>
    <col min="11522" max="11522" width="41.5703125" style="1" customWidth="1"/>
    <col min="11523" max="11523" width="13.28515625" style="1" customWidth="1"/>
    <col min="11524" max="11524" width="14.7109375" style="1" customWidth="1"/>
    <col min="11525" max="11525" width="13.42578125" style="1" customWidth="1"/>
    <col min="11526" max="11530" width="14.7109375" style="1" customWidth="1"/>
    <col min="11531" max="11531" width="16.7109375" style="1" customWidth="1"/>
    <col min="11532" max="11532" width="9.85546875" style="1" customWidth="1"/>
    <col min="11533" max="11533" width="7.42578125" style="1" customWidth="1"/>
    <col min="11534" max="11776" width="9.140625" style="1"/>
    <col min="11777" max="11777" width="8.7109375" style="1" customWidth="1"/>
    <col min="11778" max="11778" width="41.5703125" style="1" customWidth="1"/>
    <col min="11779" max="11779" width="13.28515625" style="1" customWidth="1"/>
    <col min="11780" max="11780" width="14.7109375" style="1" customWidth="1"/>
    <col min="11781" max="11781" width="13.42578125" style="1" customWidth="1"/>
    <col min="11782" max="11786" width="14.7109375" style="1" customWidth="1"/>
    <col min="11787" max="11787" width="16.7109375" style="1" customWidth="1"/>
    <col min="11788" max="11788" width="9.85546875" style="1" customWidth="1"/>
    <col min="11789" max="11789" width="7.42578125" style="1" customWidth="1"/>
    <col min="11790" max="12032" width="9.140625" style="1"/>
    <col min="12033" max="12033" width="8.7109375" style="1" customWidth="1"/>
    <col min="12034" max="12034" width="41.5703125" style="1" customWidth="1"/>
    <col min="12035" max="12035" width="13.28515625" style="1" customWidth="1"/>
    <col min="12036" max="12036" width="14.7109375" style="1" customWidth="1"/>
    <col min="12037" max="12037" width="13.42578125" style="1" customWidth="1"/>
    <col min="12038" max="12042" width="14.7109375" style="1" customWidth="1"/>
    <col min="12043" max="12043" width="16.7109375" style="1" customWidth="1"/>
    <col min="12044" max="12044" width="9.85546875" style="1" customWidth="1"/>
    <col min="12045" max="12045" width="7.42578125" style="1" customWidth="1"/>
    <col min="12046" max="12288" width="9.140625" style="1"/>
    <col min="12289" max="12289" width="8.7109375" style="1" customWidth="1"/>
    <col min="12290" max="12290" width="41.5703125" style="1" customWidth="1"/>
    <col min="12291" max="12291" width="13.28515625" style="1" customWidth="1"/>
    <col min="12292" max="12292" width="14.7109375" style="1" customWidth="1"/>
    <col min="12293" max="12293" width="13.42578125" style="1" customWidth="1"/>
    <col min="12294" max="12298" width="14.7109375" style="1" customWidth="1"/>
    <col min="12299" max="12299" width="16.7109375" style="1" customWidth="1"/>
    <col min="12300" max="12300" width="9.85546875" style="1" customWidth="1"/>
    <col min="12301" max="12301" width="7.42578125" style="1" customWidth="1"/>
    <col min="12302" max="12544" width="9.140625" style="1"/>
    <col min="12545" max="12545" width="8.7109375" style="1" customWidth="1"/>
    <col min="12546" max="12546" width="41.5703125" style="1" customWidth="1"/>
    <col min="12547" max="12547" width="13.28515625" style="1" customWidth="1"/>
    <col min="12548" max="12548" width="14.7109375" style="1" customWidth="1"/>
    <col min="12549" max="12549" width="13.42578125" style="1" customWidth="1"/>
    <col min="12550" max="12554" width="14.7109375" style="1" customWidth="1"/>
    <col min="12555" max="12555" width="16.7109375" style="1" customWidth="1"/>
    <col min="12556" max="12556" width="9.85546875" style="1" customWidth="1"/>
    <col min="12557" max="12557" width="7.42578125" style="1" customWidth="1"/>
    <col min="12558" max="12800" width="9.140625" style="1"/>
    <col min="12801" max="12801" width="8.7109375" style="1" customWidth="1"/>
    <col min="12802" max="12802" width="41.5703125" style="1" customWidth="1"/>
    <col min="12803" max="12803" width="13.28515625" style="1" customWidth="1"/>
    <col min="12804" max="12804" width="14.7109375" style="1" customWidth="1"/>
    <col min="12805" max="12805" width="13.42578125" style="1" customWidth="1"/>
    <col min="12806" max="12810" width="14.7109375" style="1" customWidth="1"/>
    <col min="12811" max="12811" width="16.7109375" style="1" customWidth="1"/>
    <col min="12812" max="12812" width="9.85546875" style="1" customWidth="1"/>
    <col min="12813" max="12813" width="7.42578125" style="1" customWidth="1"/>
    <col min="12814" max="13056" width="9.140625" style="1"/>
    <col min="13057" max="13057" width="8.7109375" style="1" customWidth="1"/>
    <col min="13058" max="13058" width="41.5703125" style="1" customWidth="1"/>
    <col min="13059" max="13059" width="13.28515625" style="1" customWidth="1"/>
    <col min="13060" max="13060" width="14.7109375" style="1" customWidth="1"/>
    <col min="13061" max="13061" width="13.42578125" style="1" customWidth="1"/>
    <col min="13062" max="13066" width="14.7109375" style="1" customWidth="1"/>
    <col min="13067" max="13067" width="16.7109375" style="1" customWidth="1"/>
    <col min="13068" max="13068" width="9.85546875" style="1" customWidth="1"/>
    <col min="13069" max="13069" width="7.42578125" style="1" customWidth="1"/>
    <col min="13070" max="13312" width="9.140625" style="1"/>
    <col min="13313" max="13313" width="8.7109375" style="1" customWidth="1"/>
    <col min="13314" max="13314" width="41.5703125" style="1" customWidth="1"/>
    <col min="13315" max="13315" width="13.28515625" style="1" customWidth="1"/>
    <col min="13316" max="13316" width="14.7109375" style="1" customWidth="1"/>
    <col min="13317" max="13317" width="13.42578125" style="1" customWidth="1"/>
    <col min="13318" max="13322" width="14.7109375" style="1" customWidth="1"/>
    <col min="13323" max="13323" width="16.7109375" style="1" customWidth="1"/>
    <col min="13324" max="13324" width="9.85546875" style="1" customWidth="1"/>
    <col min="13325" max="13325" width="7.42578125" style="1" customWidth="1"/>
    <col min="13326" max="13568" width="9.140625" style="1"/>
    <col min="13569" max="13569" width="8.7109375" style="1" customWidth="1"/>
    <col min="13570" max="13570" width="41.5703125" style="1" customWidth="1"/>
    <col min="13571" max="13571" width="13.28515625" style="1" customWidth="1"/>
    <col min="13572" max="13572" width="14.7109375" style="1" customWidth="1"/>
    <col min="13573" max="13573" width="13.42578125" style="1" customWidth="1"/>
    <col min="13574" max="13578" width="14.7109375" style="1" customWidth="1"/>
    <col min="13579" max="13579" width="16.7109375" style="1" customWidth="1"/>
    <col min="13580" max="13580" width="9.85546875" style="1" customWidth="1"/>
    <col min="13581" max="13581" width="7.42578125" style="1" customWidth="1"/>
    <col min="13582" max="13824" width="9.140625" style="1"/>
    <col min="13825" max="13825" width="8.7109375" style="1" customWidth="1"/>
    <col min="13826" max="13826" width="41.5703125" style="1" customWidth="1"/>
    <col min="13827" max="13827" width="13.28515625" style="1" customWidth="1"/>
    <col min="13828" max="13828" width="14.7109375" style="1" customWidth="1"/>
    <col min="13829" max="13829" width="13.42578125" style="1" customWidth="1"/>
    <col min="13830" max="13834" width="14.7109375" style="1" customWidth="1"/>
    <col min="13835" max="13835" width="16.7109375" style="1" customWidth="1"/>
    <col min="13836" max="13836" width="9.85546875" style="1" customWidth="1"/>
    <col min="13837" max="13837" width="7.42578125" style="1" customWidth="1"/>
    <col min="13838" max="14080" width="9.140625" style="1"/>
    <col min="14081" max="14081" width="8.7109375" style="1" customWidth="1"/>
    <col min="14082" max="14082" width="41.5703125" style="1" customWidth="1"/>
    <col min="14083" max="14083" width="13.28515625" style="1" customWidth="1"/>
    <col min="14084" max="14084" width="14.7109375" style="1" customWidth="1"/>
    <col min="14085" max="14085" width="13.42578125" style="1" customWidth="1"/>
    <col min="14086" max="14090" width="14.7109375" style="1" customWidth="1"/>
    <col min="14091" max="14091" width="16.7109375" style="1" customWidth="1"/>
    <col min="14092" max="14092" width="9.85546875" style="1" customWidth="1"/>
    <col min="14093" max="14093" width="7.42578125" style="1" customWidth="1"/>
    <col min="14094" max="14336" width="9.140625" style="1"/>
    <col min="14337" max="14337" width="8.7109375" style="1" customWidth="1"/>
    <col min="14338" max="14338" width="41.5703125" style="1" customWidth="1"/>
    <col min="14339" max="14339" width="13.28515625" style="1" customWidth="1"/>
    <col min="14340" max="14340" width="14.7109375" style="1" customWidth="1"/>
    <col min="14341" max="14341" width="13.42578125" style="1" customWidth="1"/>
    <col min="14342" max="14346" width="14.7109375" style="1" customWidth="1"/>
    <col min="14347" max="14347" width="16.7109375" style="1" customWidth="1"/>
    <col min="14348" max="14348" width="9.85546875" style="1" customWidth="1"/>
    <col min="14349" max="14349" width="7.42578125" style="1" customWidth="1"/>
    <col min="14350" max="14592" width="9.140625" style="1"/>
    <col min="14593" max="14593" width="8.7109375" style="1" customWidth="1"/>
    <col min="14594" max="14594" width="41.5703125" style="1" customWidth="1"/>
    <col min="14595" max="14595" width="13.28515625" style="1" customWidth="1"/>
    <col min="14596" max="14596" width="14.7109375" style="1" customWidth="1"/>
    <col min="14597" max="14597" width="13.42578125" style="1" customWidth="1"/>
    <col min="14598" max="14602" width="14.7109375" style="1" customWidth="1"/>
    <col min="14603" max="14603" width="16.7109375" style="1" customWidth="1"/>
    <col min="14604" max="14604" width="9.85546875" style="1" customWidth="1"/>
    <col min="14605" max="14605" width="7.42578125" style="1" customWidth="1"/>
    <col min="14606" max="14848" width="9.140625" style="1"/>
    <col min="14849" max="14849" width="8.7109375" style="1" customWidth="1"/>
    <col min="14850" max="14850" width="41.5703125" style="1" customWidth="1"/>
    <col min="14851" max="14851" width="13.28515625" style="1" customWidth="1"/>
    <col min="14852" max="14852" width="14.7109375" style="1" customWidth="1"/>
    <col min="14853" max="14853" width="13.42578125" style="1" customWidth="1"/>
    <col min="14854" max="14858" width="14.7109375" style="1" customWidth="1"/>
    <col min="14859" max="14859" width="16.7109375" style="1" customWidth="1"/>
    <col min="14860" max="14860" width="9.85546875" style="1" customWidth="1"/>
    <col min="14861" max="14861" width="7.42578125" style="1" customWidth="1"/>
    <col min="14862" max="15104" width="9.140625" style="1"/>
    <col min="15105" max="15105" width="8.7109375" style="1" customWidth="1"/>
    <col min="15106" max="15106" width="41.5703125" style="1" customWidth="1"/>
    <col min="15107" max="15107" width="13.28515625" style="1" customWidth="1"/>
    <col min="15108" max="15108" width="14.7109375" style="1" customWidth="1"/>
    <col min="15109" max="15109" width="13.42578125" style="1" customWidth="1"/>
    <col min="15110" max="15114" width="14.7109375" style="1" customWidth="1"/>
    <col min="15115" max="15115" width="16.7109375" style="1" customWidth="1"/>
    <col min="15116" max="15116" width="9.85546875" style="1" customWidth="1"/>
    <col min="15117" max="15117" width="7.42578125" style="1" customWidth="1"/>
    <col min="15118" max="15360" width="9.140625" style="1"/>
    <col min="15361" max="15361" width="8.7109375" style="1" customWidth="1"/>
    <col min="15362" max="15362" width="41.5703125" style="1" customWidth="1"/>
    <col min="15363" max="15363" width="13.28515625" style="1" customWidth="1"/>
    <col min="15364" max="15364" width="14.7109375" style="1" customWidth="1"/>
    <col min="15365" max="15365" width="13.42578125" style="1" customWidth="1"/>
    <col min="15366" max="15370" width="14.7109375" style="1" customWidth="1"/>
    <col min="15371" max="15371" width="16.7109375" style="1" customWidth="1"/>
    <col min="15372" max="15372" width="9.85546875" style="1" customWidth="1"/>
    <col min="15373" max="15373" width="7.42578125" style="1" customWidth="1"/>
    <col min="15374" max="15616" width="9.140625" style="1"/>
    <col min="15617" max="15617" width="8.7109375" style="1" customWidth="1"/>
    <col min="15618" max="15618" width="41.5703125" style="1" customWidth="1"/>
    <col min="15619" max="15619" width="13.28515625" style="1" customWidth="1"/>
    <col min="15620" max="15620" width="14.7109375" style="1" customWidth="1"/>
    <col min="15621" max="15621" width="13.42578125" style="1" customWidth="1"/>
    <col min="15622" max="15626" width="14.7109375" style="1" customWidth="1"/>
    <col min="15627" max="15627" width="16.7109375" style="1" customWidth="1"/>
    <col min="15628" max="15628" width="9.85546875" style="1" customWidth="1"/>
    <col min="15629" max="15629" width="7.42578125" style="1" customWidth="1"/>
    <col min="15630" max="15872" width="9.140625" style="1"/>
    <col min="15873" max="15873" width="8.7109375" style="1" customWidth="1"/>
    <col min="15874" max="15874" width="41.5703125" style="1" customWidth="1"/>
    <col min="15875" max="15875" width="13.28515625" style="1" customWidth="1"/>
    <col min="15876" max="15876" width="14.7109375" style="1" customWidth="1"/>
    <col min="15877" max="15877" width="13.42578125" style="1" customWidth="1"/>
    <col min="15878" max="15882" width="14.7109375" style="1" customWidth="1"/>
    <col min="15883" max="15883" width="16.7109375" style="1" customWidth="1"/>
    <col min="15884" max="15884" width="9.85546875" style="1" customWidth="1"/>
    <col min="15885" max="15885" width="7.42578125" style="1" customWidth="1"/>
    <col min="15886" max="16128" width="9.140625" style="1"/>
    <col min="16129" max="16129" width="8.7109375" style="1" customWidth="1"/>
    <col min="16130" max="16130" width="41.5703125" style="1" customWidth="1"/>
    <col min="16131" max="16131" width="13.28515625" style="1" customWidth="1"/>
    <col min="16132" max="16132" width="14.7109375" style="1" customWidth="1"/>
    <col min="16133" max="16133" width="13.42578125" style="1" customWidth="1"/>
    <col min="16134" max="16138" width="14.7109375" style="1" customWidth="1"/>
    <col min="16139" max="16139" width="16.7109375" style="1" customWidth="1"/>
    <col min="16140" max="16140" width="9.85546875" style="1" customWidth="1"/>
    <col min="16141" max="16141" width="7.42578125" style="1" customWidth="1"/>
    <col min="16142" max="16384" width="9.140625" style="1"/>
  </cols>
  <sheetData>
    <row r="1" spans="1:22" ht="15" customHeight="1" x14ac:dyDescent="0.2"/>
    <row r="2" spans="1:22" ht="20.100000000000001" customHeight="1" x14ac:dyDescent="0.35">
      <c r="A2" s="1284" t="s">
        <v>570</v>
      </c>
      <c r="B2" s="1284"/>
      <c r="C2" s="1284"/>
      <c r="D2" s="1284"/>
      <c r="E2" s="1284"/>
      <c r="F2" s="1284"/>
      <c r="G2" s="1284"/>
      <c r="H2" s="1284"/>
      <c r="I2" s="1284"/>
      <c r="J2" s="1284"/>
      <c r="K2" s="1284"/>
      <c r="L2" s="1284"/>
      <c r="M2" s="1284"/>
      <c r="N2" s="29"/>
    </row>
    <row r="3" spans="1:22" ht="15" customHeight="1" x14ac:dyDescent="0.2"/>
    <row r="4" spans="1:22" ht="20.100000000000001" customHeight="1" x14ac:dyDescent="0.3">
      <c r="A4" s="7" t="s">
        <v>195</v>
      </c>
      <c r="L4" s="8"/>
    </row>
    <row r="5" spans="1:22" ht="15" customHeight="1" thickBot="1" x14ac:dyDescent="0.35">
      <c r="A5" s="7"/>
      <c r="M5" s="8" t="s">
        <v>0</v>
      </c>
    </row>
    <row r="6" spans="1:22" s="62" customFormat="1" ht="15.95" customHeight="1" x14ac:dyDescent="0.15">
      <c r="A6" s="1286" t="s">
        <v>88</v>
      </c>
      <c r="B6" s="1299" t="s">
        <v>103</v>
      </c>
      <c r="C6" s="1288" t="s">
        <v>283</v>
      </c>
      <c r="D6" s="1289"/>
      <c r="E6" s="1288" t="s">
        <v>390</v>
      </c>
      <c r="F6" s="1290"/>
      <c r="G6" s="1289"/>
      <c r="H6" s="1291" t="s">
        <v>484</v>
      </c>
      <c r="I6" s="1292"/>
      <c r="J6" s="1292"/>
      <c r="K6" s="1293"/>
      <c r="L6" s="1294" t="s">
        <v>485</v>
      </c>
      <c r="M6" s="1296" t="s">
        <v>489</v>
      </c>
    </row>
    <row r="7" spans="1:22" s="62" customFormat="1" ht="27" customHeight="1" thickBot="1" x14ac:dyDescent="0.2">
      <c r="A7" s="1287"/>
      <c r="B7" s="1301"/>
      <c r="C7" s="179" t="s">
        <v>108</v>
      </c>
      <c r="D7" s="180" t="s">
        <v>127</v>
      </c>
      <c r="E7" s="267" t="s">
        <v>109</v>
      </c>
      <c r="F7" s="268" t="s">
        <v>586</v>
      </c>
      <c r="G7" s="269" t="s">
        <v>587</v>
      </c>
      <c r="H7" s="892" t="s">
        <v>125</v>
      </c>
      <c r="I7" s="893" t="s">
        <v>126</v>
      </c>
      <c r="J7" s="894" t="s">
        <v>331</v>
      </c>
      <c r="K7" s="889" t="s">
        <v>85</v>
      </c>
      <c r="L7" s="1295"/>
      <c r="M7" s="1297"/>
    </row>
    <row r="8" spans="1:22" s="9" customFormat="1" ht="20.100000000000001" customHeight="1" thickBot="1" x14ac:dyDescent="0.3">
      <c r="B8" s="10" t="s">
        <v>104</v>
      </c>
      <c r="C8" s="11"/>
      <c r="D8" s="12"/>
      <c r="E8" s="11"/>
      <c r="F8" s="13"/>
      <c r="G8" s="13"/>
      <c r="H8" s="13"/>
      <c r="I8" s="13"/>
      <c r="J8" s="13"/>
      <c r="K8" s="271"/>
      <c r="L8" s="16"/>
      <c r="M8" s="16"/>
    </row>
    <row r="9" spans="1:22" s="527" customFormat="1" ht="20.100000000000001" customHeight="1" x14ac:dyDescent="0.2">
      <c r="A9" s="509">
        <v>2115</v>
      </c>
      <c r="B9" s="626" t="s">
        <v>550</v>
      </c>
      <c r="C9" s="453">
        <v>0</v>
      </c>
      <c r="D9" s="454">
        <v>0</v>
      </c>
      <c r="E9" s="453">
        <v>0</v>
      </c>
      <c r="F9" s="582">
        <v>102.18</v>
      </c>
      <c r="G9" s="510">
        <v>70.25</v>
      </c>
      <c r="H9" s="489">
        <v>100</v>
      </c>
      <c r="I9" s="455">
        <v>0</v>
      </c>
      <c r="J9" s="1077">
        <v>0</v>
      </c>
      <c r="K9" s="904">
        <f t="shared" ref="K9:K36" si="0">SUM(H9:J9)</f>
        <v>100</v>
      </c>
      <c r="L9" s="458" t="s">
        <v>60</v>
      </c>
      <c r="M9" s="459">
        <f>K9/F9*100</f>
        <v>97.866510080250535</v>
      </c>
      <c r="N9" s="830"/>
      <c r="O9" s="532"/>
      <c r="P9" s="815"/>
      <c r="Q9" s="532"/>
      <c r="R9" s="532"/>
      <c r="S9" s="532"/>
      <c r="T9" s="532"/>
      <c r="U9" s="532"/>
      <c r="V9" s="532"/>
    </row>
    <row r="10" spans="1:22" s="527" customFormat="1" ht="20.100000000000001" customHeight="1" x14ac:dyDescent="0.2">
      <c r="A10" s="668">
        <v>2212</v>
      </c>
      <c r="B10" s="1020" t="s">
        <v>112</v>
      </c>
      <c r="C10" s="462">
        <v>1011</v>
      </c>
      <c r="D10" s="463">
        <v>15.54</v>
      </c>
      <c r="E10" s="462">
        <v>250</v>
      </c>
      <c r="F10" s="470">
        <v>5</v>
      </c>
      <c r="G10" s="583">
        <v>2.71</v>
      </c>
      <c r="H10" s="1046">
        <v>0</v>
      </c>
      <c r="I10" s="531">
        <v>0</v>
      </c>
      <c r="J10" s="1122">
        <v>0</v>
      </c>
      <c r="K10" s="1065">
        <f t="shared" ref="K10" si="1">SUM(H10:J10)</f>
        <v>0</v>
      </c>
      <c r="L10" s="476">
        <f t="shared" ref="L10" si="2">K10/E10*100</f>
        <v>0</v>
      </c>
      <c r="M10" s="477">
        <f t="shared" ref="M10" si="3">K10/F10*100</f>
        <v>0</v>
      </c>
      <c r="N10" s="830"/>
      <c r="O10" s="532"/>
      <c r="P10" s="815"/>
      <c r="Q10" s="532"/>
      <c r="R10" s="532"/>
      <c r="S10" s="532"/>
      <c r="T10" s="532"/>
      <c r="U10" s="532"/>
      <c r="V10" s="532"/>
    </row>
    <row r="11" spans="1:22" s="529" customFormat="1" ht="20.100000000000001" customHeight="1" x14ac:dyDescent="0.2">
      <c r="A11" s="507">
        <v>2219</v>
      </c>
      <c r="B11" s="524" t="s">
        <v>113</v>
      </c>
      <c r="C11" s="462">
        <v>23</v>
      </c>
      <c r="D11" s="463">
        <v>0</v>
      </c>
      <c r="E11" s="462">
        <v>13</v>
      </c>
      <c r="F11" s="470">
        <v>2</v>
      </c>
      <c r="G11" s="583">
        <v>0</v>
      </c>
      <c r="H11" s="1046">
        <v>0</v>
      </c>
      <c r="I11" s="531">
        <v>0</v>
      </c>
      <c r="J11" s="1122">
        <v>0</v>
      </c>
      <c r="K11" s="1065">
        <f t="shared" si="0"/>
        <v>0</v>
      </c>
      <c r="L11" s="476">
        <f t="shared" ref="L11:L37" si="4">K11/E11*100</f>
        <v>0</v>
      </c>
      <c r="M11" s="477">
        <f t="shared" ref="M11:M37" si="5">K11/F11*100</f>
        <v>0</v>
      </c>
      <c r="N11" s="830"/>
      <c r="P11" s="815"/>
    </row>
    <row r="12" spans="1:22" s="529" customFormat="1" ht="20.100000000000001" customHeight="1" x14ac:dyDescent="0.2">
      <c r="A12" s="507">
        <v>2223</v>
      </c>
      <c r="B12" s="673" t="s">
        <v>196</v>
      </c>
      <c r="C12" s="462">
        <v>3</v>
      </c>
      <c r="D12" s="463">
        <v>0</v>
      </c>
      <c r="E12" s="462">
        <v>3</v>
      </c>
      <c r="F12" s="470">
        <v>1</v>
      </c>
      <c r="G12" s="583">
        <v>0</v>
      </c>
      <c r="H12" s="1046">
        <v>0</v>
      </c>
      <c r="I12" s="531">
        <v>0</v>
      </c>
      <c r="J12" s="1122">
        <v>0</v>
      </c>
      <c r="K12" s="1065">
        <f t="shared" si="0"/>
        <v>0</v>
      </c>
      <c r="L12" s="476">
        <f t="shared" si="4"/>
        <v>0</v>
      </c>
      <c r="M12" s="477">
        <f t="shared" si="5"/>
        <v>0</v>
      </c>
      <c r="N12" s="830"/>
      <c r="P12" s="815"/>
    </row>
    <row r="13" spans="1:22" s="529" customFormat="1" ht="30" customHeight="1" x14ac:dyDescent="0.2">
      <c r="A13" s="507">
        <v>2292</v>
      </c>
      <c r="B13" s="673" t="s">
        <v>351</v>
      </c>
      <c r="C13" s="462">
        <v>1</v>
      </c>
      <c r="D13" s="463">
        <v>0</v>
      </c>
      <c r="E13" s="462">
        <v>1</v>
      </c>
      <c r="F13" s="470">
        <v>1</v>
      </c>
      <c r="G13" s="583">
        <v>0</v>
      </c>
      <c r="H13" s="1046">
        <v>0</v>
      </c>
      <c r="I13" s="531">
        <v>0</v>
      </c>
      <c r="J13" s="1122">
        <v>0</v>
      </c>
      <c r="K13" s="1065">
        <f t="shared" si="0"/>
        <v>0</v>
      </c>
      <c r="L13" s="476">
        <f t="shared" si="4"/>
        <v>0</v>
      </c>
      <c r="M13" s="477">
        <f t="shared" si="5"/>
        <v>0</v>
      </c>
      <c r="N13" s="830"/>
      <c r="P13" s="815"/>
    </row>
    <row r="14" spans="1:22" s="529" customFormat="1" ht="20.100000000000001" customHeight="1" x14ac:dyDescent="0.2">
      <c r="A14" s="507">
        <v>2299</v>
      </c>
      <c r="B14" s="673" t="s">
        <v>114</v>
      </c>
      <c r="C14" s="462">
        <v>3</v>
      </c>
      <c r="D14" s="463">
        <v>0</v>
      </c>
      <c r="E14" s="462">
        <v>3</v>
      </c>
      <c r="F14" s="470">
        <v>1</v>
      </c>
      <c r="G14" s="583">
        <v>0</v>
      </c>
      <c r="H14" s="1046">
        <v>0</v>
      </c>
      <c r="I14" s="531">
        <v>0</v>
      </c>
      <c r="J14" s="1122">
        <v>0</v>
      </c>
      <c r="K14" s="1065">
        <f t="shared" si="0"/>
        <v>0</v>
      </c>
      <c r="L14" s="476">
        <f t="shared" si="4"/>
        <v>0</v>
      </c>
      <c r="M14" s="477">
        <f t="shared" si="5"/>
        <v>0</v>
      </c>
      <c r="N14" s="830"/>
      <c r="P14" s="815"/>
    </row>
    <row r="15" spans="1:22" s="529" customFormat="1" ht="20.100000000000001" customHeight="1" x14ac:dyDescent="0.2">
      <c r="A15" s="507">
        <v>2310</v>
      </c>
      <c r="B15" s="625" t="s">
        <v>115</v>
      </c>
      <c r="C15" s="494">
        <v>22</v>
      </c>
      <c r="D15" s="518">
        <v>0</v>
      </c>
      <c r="E15" s="494">
        <v>2</v>
      </c>
      <c r="F15" s="575">
        <v>2</v>
      </c>
      <c r="G15" s="495">
        <v>0</v>
      </c>
      <c r="H15" s="1046">
        <v>0</v>
      </c>
      <c r="I15" s="531">
        <v>0</v>
      </c>
      <c r="J15" s="1122">
        <v>0</v>
      </c>
      <c r="K15" s="1065">
        <f t="shared" si="0"/>
        <v>0</v>
      </c>
      <c r="L15" s="476">
        <f t="shared" si="4"/>
        <v>0</v>
      </c>
      <c r="M15" s="477">
        <f t="shared" si="5"/>
        <v>0</v>
      </c>
      <c r="N15" s="830"/>
      <c r="P15" s="815"/>
    </row>
    <row r="16" spans="1:22" s="529" customFormat="1" ht="20.100000000000001" customHeight="1" x14ac:dyDescent="0.2">
      <c r="A16" s="507">
        <v>3121</v>
      </c>
      <c r="B16" s="625" t="s">
        <v>116</v>
      </c>
      <c r="C16" s="494">
        <v>305</v>
      </c>
      <c r="D16" s="518">
        <v>40.67</v>
      </c>
      <c r="E16" s="494">
        <v>85</v>
      </c>
      <c r="F16" s="575">
        <v>84.66</v>
      </c>
      <c r="G16" s="495">
        <v>11.62</v>
      </c>
      <c r="H16" s="1081">
        <v>150</v>
      </c>
      <c r="I16" s="531">
        <v>0</v>
      </c>
      <c r="J16" s="1122">
        <v>0</v>
      </c>
      <c r="K16" s="1065">
        <f t="shared" si="0"/>
        <v>150</v>
      </c>
      <c r="L16" s="476">
        <f t="shared" ref="L16" si="6">K16/E16*100</f>
        <v>176.47058823529412</v>
      </c>
      <c r="M16" s="477">
        <f t="shared" ref="M16" si="7">K16/F16*100</f>
        <v>177.17930545712261</v>
      </c>
      <c r="N16" s="830"/>
      <c r="P16" s="815"/>
    </row>
    <row r="17" spans="1:16" s="529" customFormat="1" ht="20.100000000000001" customHeight="1" x14ac:dyDescent="0.2">
      <c r="A17" s="507">
        <v>3122</v>
      </c>
      <c r="B17" s="625" t="s">
        <v>117</v>
      </c>
      <c r="C17" s="494">
        <v>408</v>
      </c>
      <c r="D17" s="518">
        <v>10.62</v>
      </c>
      <c r="E17" s="494">
        <v>185</v>
      </c>
      <c r="F17" s="575">
        <v>385</v>
      </c>
      <c r="G17" s="495">
        <v>238.81</v>
      </c>
      <c r="H17" s="1081">
        <v>150</v>
      </c>
      <c r="I17" s="531">
        <v>0</v>
      </c>
      <c r="J17" s="1122">
        <v>0</v>
      </c>
      <c r="K17" s="1065">
        <f t="shared" si="0"/>
        <v>150</v>
      </c>
      <c r="L17" s="476">
        <f t="shared" si="4"/>
        <v>81.081081081081081</v>
      </c>
      <c r="M17" s="477">
        <f t="shared" si="5"/>
        <v>38.961038961038966</v>
      </c>
      <c r="N17" s="830"/>
      <c r="P17" s="815"/>
    </row>
    <row r="18" spans="1:16" s="529" customFormat="1" ht="30" customHeight="1" x14ac:dyDescent="0.2">
      <c r="A18" s="507">
        <v>3123</v>
      </c>
      <c r="B18" s="546" t="s">
        <v>131</v>
      </c>
      <c r="C18" s="494">
        <v>408</v>
      </c>
      <c r="D18" s="518">
        <v>0</v>
      </c>
      <c r="E18" s="494">
        <v>185</v>
      </c>
      <c r="F18" s="575">
        <v>335</v>
      </c>
      <c r="G18" s="495">
        <v>192.21</v>
      </c>
      <c r="H18" s="530">
        <v>150</v>
      </c>
      <c r="I18" s="531">
        <v>0</v>
      </c>
      <c r="J18" s="1122">
        <v>0</v>
      </c>
      <c r="K18" s="1065">
        <f t="shared" si="0"/>
        <v>150</v>
      </c>
      <c r="L18" s="476">
        <f t="shared" si="4"/>
        <v>81.081081081081081</v>
      </c>
      <c r="M18" s="477">
        <f t="shared" si="5"/>
        <v>44.776119402985074</v>
      </c>
      <c r="N18" s="830"/>
      <c r="P18" s="815"/>
    </row>
    <row r="19" spans="1:16" s="529" customFormat="1" ht="30" customHeight="1" x14ac:dyDescent="0.2">
      <c r="A19" s="507">
        <v>3125</v>
      </c>
      <c r="B19" s="546" t="s">
        <v>254</v>
      </c>
      <c r="C19" s="494">
        <v>22</v>
      </c>
      <c r="D19" s="518">
        <v>0</v>
      </c>
      <c r="E19" s="494">
        <v>2</v>
      </c>
      <c r="F19" s="575">
        <v>2</v>
      </c>
      <c r="G19" s="495">
        <v>0</v>
      </c>
      <c r="H19" s="1046">
        <v>0</v>
      </c>
      <c r="I19" s="531">
        <v>0</v>
      </c>
      <c r="J19" s="1122">
        <v>0</v>
      </c>
      <c r="K19" s="1065">
        <f t="shared" si="0"/>
        <v>0</v>
      </c>
      <c r="L19" s="476">
        <f t="shared" si="4"/>
        <v>0</v>
      </c>
      <c r="M19" s="477">
        <f t="shared" si="5"/>
        <v>0</v>
      </c>
      <c r="N19" s="830"/>
      <c r="P19" s="815"/>
    </row>
    <row r="20" spans="1:16" s="529" customFormat="1" ht="20.100000000000001" customHeight="1" x14ac:dyDescent="0.2">
      <c r="A20" s="507">
        <v>3133</v>
      </c>
      <c r="B20" s="625" t="s">
        <v>118</v>
      </c>
      <c r="C20" s="494">
        <v>22</v>
      </c>
      <c r="D20" s="518">
        <v>0</v>
      </c>
      <c r="E20" s="494">
        <v>12</v>
      </c>
      <c r="F20" s="575">
        <v>1</v>
      </c>
      <c r="G20" s="495">
        <v>0</v>
      </c>
      <c r="H20" s="1046">
        <v>0</v>
      </c>
      <c r="I20" s="531">
        <v>0</v>
      </c>
      <c r="J20" s="1122">
        <v>0</v>
      </c>
      <c r="K20" s="1065">
        <f t="shared" si="0"/>
        <v>0</v>
      </c>
      <c r="L20" s="476">
        <f t="shared" si="4"/>
        <v>0</v>
      </c>
      <c r="M20" s="477">
        <f t="shared" si="5"/>
        <v>0</v>
      </c>
      <c r="N20" s="830"/>
      <c r="P20" s="815"/>
    </row>
    <row r="21" spans="1:16" s="529" customFormat="1" ht="20.100000000000001" customHeight="1" x14ac:dyDescent="0.2">
      <c r="A21" s="507">
        <v>3231</v>
      </c>
      <c r="B21" s="625" t="s">
        <v>133</v>
      </c>
      <c r="C21" s="494">
        <v>2</v>
      </c>
      <c r="D21" s="518">
        <v>0</v>
      </c>
      <c r="E21" s="494">
        <v>2</v>
      </c>
      <c r="F21" s="575">
        <v>2</v>
      </c>
      <c r="G21" s="495">
        <v>0</v>
      </c>
      <c r="H21" s="1046">
        <v>0</v>
      </c>
      <c r="I21" s="531">
        <v>0</v>
      </c>
      <c r="J21" s="1122">
        <v>0</v>
      </c>
      <c r="K21" s="1065">
        <f t="shared" si="0"/>
        <v>0</v>
      </c>
      <c r="L21" s="476">
        <f t="shared" si="4"/>
        <v>0</v>
      </c>
      <c r="M21" s="477">
        <f t="shared" si="5"/>
        <v>0</v>
      </c>
      <c r="N21" s="830"/>
      <c r="P21" s="815"/>
    </row>
    <row r="22" spans="1:16" s="529" customFormat="1" ht="20.100000000000001" customHeight="1" x14ac:dyDescent="0.2">
      <c r="A22" s="507">
        <v>3269</v>
      </c>
      <c r="B22" s="625" t="s">
        <v>134</v>
      </c>
      <c r="C22" s="494">
        <v>23</v>
      </c>
      <c r="D22" s="518">
        <v>59.38</v>
      </c>
      <c r="E22" s="494">
        <v>50</v>
      </c>
      <c r="F22" s="575">
        <v>50</v>
      </c>
      <c r="G22" s="495">
        <v>7.3</v>
      </c>
      <c r="H22" s="1046">
        <v>0</v>
      </c>
      <c r="I22" s="531">
        <v>0</v>
      </c>
      <c r="J22" s="1122">
        <v>0</v>
      </c>
      <c r="K22" s="1065">
        <f t="shared" si="0"/>
        <v>0</v>
      </c>
      <c r="L22" s="476">
        <f t="shared" si="4"/>
        <v>0</v>
      </c>
      <c r="M22" s="477">
        <f t="shared" si="5"/>
        <v>0</v>
      </c>
      <c r="N22" s="830"/>
      <c r="P22" s="815"/>
    </row>
    <row r="23" spans="1:16" s="529" customFormat="1" ht="20.100000000000001" customHeight="1" x14ac:dyDescent="0.2">
      <c r="A23" s="507">
        <v>3314</v>
      </c>
      <c r="B23" s="625" t="s">
        <v>352</v>
      </c>
      <c r="C23" s="494">
        <v>3</v>
      </c>
      <c r="D23" s="518">
        <v>0</v>
      </c>
      <c r="E23" s="494">
        <v>2</v>
      </c>
      <c r="F23" s="575">
        <v>2</v>
      </c>
      <c r="G23" s="495">
        <v>0</v>
      </c>
      <c r="H23" s="1046">
        <v>0</v>
      </c>
      <c r="I23" s="531">
        <v>0</v>
      </c>
      <c r="J23" s="1122">
        <v>0</v>
      </c>
      <c r="K23" s="1065">
        <f t="shared" si="0"/>
        <v>0</v>
      </c>
      <c r="L23" s="476">
        <f t="shared" si="4"/>
        <v>0</v>
      </c>
      <c r="M23" s="477">
        <f t="shared" si="5"/>
        <v>0</v>
      </c>
      <c r="N23" s="830"/>
      <c r="P23" s="815"/>
    </row>
    <row r="24" spans="1:16" s="529" customFormat="1" ht="20.100000000000001" customHeight="1" x14ac:dyDescent="0.2">
      <c r="A24" s="507">
        <v>3315</v>
      </c>
      <c r="B24" s="625" t="s">
        <v>358</v>
      </c>
      <c r="C24" s="494">
        <v>105</v>
      </c>
      <c r="D24" s="518">
        <v>0.33</v>
      </c>
      <c r="E24" s="494">
        <v>68</v>
      </c>
      <c r="F24" s="575">
        <v>67.66</v>
      </c>
      <c r="G24" s="495">
        <v>0</v>
      </c>
      <c r="H24" s="530">
        <v>154</v>
      </c>
      <c r="I24" s="531">
        <v>0</v>
      </c>
      <c r="J24" s="1122">
        <v>0</v>
      </c>
      <c r="K24" s="1065">
        <f t="shared" si="0"/>
        <v>154</v>
      </c>
      <c r="L24" s="476">
        <f t="shared" si="4"/>
        <v>226.47058823529412</v>
      </c>
      <c r="M24" s="477">
        <f t="shared" si="5"/>
        <v>227.6086313922554</v>
      </c>
      <c r="N24" s="830"/>
      <c r="P24" s="815"/>
    </row>
    <row r="25" spans="1:16" s="529" customFormat="1" ht="51" customHeight="1" x14ac:dyDescent="0.2">
      <c r="A25" s="507">
        <v>3326</v>
      </c>
      <c r="B25" s="625" t="s">
        <v>413</v>
      </c>
      <c r="C25" s="494">
        <v>0</v>
      </c>
      <c r="D25" s="518">
        <v>0</v>
      </c>
      <c r="E25" s="494">
        <v>3</v>
      </c>
      <c r="F25" s="575">
        <v>3</v>
      </c>
      <c r="G25" s="495">
        <v>0</v>
      </c>
      <c r="H25" s="1046">
        <v>0</v>
      </c>
      <c r="I25" s="531">
        <v>0</v>
      </c>
      <c r="J25" s="1122">
        <v>0</v>
      </c>
      <c r="K25" s="1065">
        <f t="shared" si="0"/>
        <v>0</v>
      </c>
      <c r="L25" s="476">
        <f t="shared" ref="L25:L32" si="8">K25/E25*100</f>
        <v>0</v>
      </c>
      <c r="M25" s="477">
        <f t="shared" ref="M25:M32" si="9">K25/F25*100</f>
        <v>0</v>
      </c>
      <c r="N25" s="830"/>
      <c r="P25" s="815"/>
    </row>
    <row r="26" spans="1:16" s="529" customFormat="1" ht="20.100000000000001" customHeight="1" x14ac:dyDescent="0.2">
      <c r="A26" s="507">
        <v>3522</v>
      </c>
      <c r="B26" s="625" t="s">
        <v>414</v>
      </c>
      <c r="C26" s="494">
        <v>0</v>
      </c>
      <c r="D26" s="518">
        <v>0</v>
      </c>
      <c r="E26" s="494">
        <v>9</v>
      </c>
      <c r="F26" s="575">
        <v>9</v>
      </c>
      <c r="G26" s="495">
        <v>0</v>
      </c>
      <c r="H26" s="1046">
        <v>0</v>
      </c>
      <c r="I26" s="531">
        <v>0</v>
      </c>
      <c r="J26" s="1122">
        <v>0</v>
      </c>
      <c r="K26" s="1065">
        <f t="shared" si="0"/>
        <v>0</v>
      </c>
      <c r="L26" s="476">
        <f t="shared" si="8"/>
        <v>0</v>
      </c>
      <c r="M26" s="477">
        <f t="shared" si="9"/>
        <v>0</v>
      </c>
      <c r="N26" s="830"/>
      <c r="P26" s="815"/>
    </row>
    <row r="27" spans="1:16" s="529" customFormat="1" ht="20.100000000000001" customHeight="1" x14ac:dyDescent="0.2">
      <c r="A27" s="507">
        <v>3529</v>
      </c>
      <c r="B27" s="625" t="s">
        <v>198</v>
      </c>
      <c r="C27" s="494">
        <v>13</v>
      </c>
      <c r="D27" s="518">
        <v>0</v>
      </c>
      <c r="E27" s="494">
        <v>3</v>
      </c>
      <c r="F27" s="575">
        <v>3</v>
      </c>
      <c r="G27" s="495">
        <v>0</v>
      </c>
      <c r="H27" s="1046">
        <v>0</v>
      </c>
      <c r="I27" s="531">
        <v>0</v>
      </c>
      <c r="J27" s="1122">
        <v>0</v>
      </c>
      <c r="K27" s="1065">
        <f t="shared" si="0"/>
        <v>0</v>
      </c>
      <c r="L27" s="476">
        <f t="shared" si="8"/>
        <v>0</v>
      </c>
      <c r="M27" s="477">
        <f t="shared" si="9"/>
        <v>0</v>
      </c>
      <c r="N27" s="830"/>
      <c r="P27" s="815"/>
    </row>
    <row r="28" spans="1:16" s="529" customFormat="1" ht="20.100000000000001" customHeight="1" x14ac:dyDescent="0.2">
      <c r="A28" s="507">
        <v>3533</v>
      </c>
      <c r="B28" s="625" t="s">
        <v>119</v>
      </c>
      <c r="C28" s="494">
        <v>53</v>
      </c>
      <c r="D28" s="518">
        <v>35.4</v>
      </c>
      <c r="E28" s="494">
        <v>59</v>
      </c>
      <c r="F28" s="575">
        <v>59</v>
      </c>
      <c r="G28" s="495">
        <v>0</v>
      </c>
      <c r="H28" s="1046">
        <v>0</v>
      </c>
      <c r="I28" s="531">
        <v>0</v>
      </c>
      <c r="J28" s="1122">
        <v>0</v>
      </c>
      <c r="K28" s="1065">
        <f t="shared" si="0"/>
        <v>0</v>
      </c>
      <c r="L28" s="476">
        <f t="shared" si="8"/>
        <v>0</v>
      </c>
      <c r="M28" s="477">
        <f t="shared" si="9"/>
        <v>0</v>
      </c>
      <c r="N28" s="830"/>
      <c r="P28" s="815"/>
    </row>
    <row r="29" spans="1:16" s="529" customFormat="1" ht="20.100000000000001" customHeight="1" x14ac:dyDescent="0.2">
      <c r="A29" s="507">
        <v>3636</v>
      </c>
      <c r="B29" s="625" t="s">
        <v>120</v>
      </c>
      <c r="C29" s="494">
        <v>0</v>
      </c>
      <c r="D29" s="518">
        <v>118.78</v>
      </c>
      <c r="E29" s="494">
        <v>0</v>
      </c>
      <c r="F29" s="575">
        <v>100</v>
      </c>
      <c r="G29" s="495">
        <v>54.9</v>
      </c>
      <c r="H29" s="1046">
        <v>0</v>
      </c>
      <c r="I29" s="531">
        <v>0</v>
      </c>
      <c r="J29" s="1122">
        <v>0</v>
      </c>
      <c r="K29" s="1065">
        <f t="shared" si="0"/>
        <v>0</v>
      </c>
      <c r="L29" s="476" t="s">
        <v>60</v>
      </c>
      <c r="M29" s="477">
        <f t="shared" si="9"/>
        <v>0</v>
      </c>
      <c r="N29" s="830"/>
      <c r="P29" s="815"/>
    </row>
    <row r="30" spans="1:16" s="529" customFormat="1" ht="20.100000000000001" customHeight="1" x14ac:dyDescent="0.2">
      <c r="A30" s="507">
        <v>3741</v>
      </c>
      <c r="B30" s="625" t="s">
        <v>161</v>
      </c>
      <c r="C30" s="494">
        <v>0</v>
      </c>
      <c r="D30" s="518">
        <v>0</v>
      </c>
      <c r="E30" s="494">
        <v>0</v>
      </c>
      <c r="F30" s="575">
        <v>2.2000000000000002</v>
      </c>
      <c r="G30" s="495">
        <v>0.34</v>
      </c>
      <c r="H30" s="1046">
        <v>0</v>
      </c>
      <c r="I30" s="531">
        <v>0</v>
      </c>
      <c r="J30" s="1122">
        <v>0</v>
      </c>
      <c r="K30" s="1065">
        <f t="shared" ref="K30:K31" si="10">SUM(H30:J30)</f>
        <v>0</v>
      </c>
      <c r="L30" s="476" t="s">
        <v>60</v>
      </c>
      <c r="M30" s="477">
        <f t="shared" ref="M30:M31" si="11">K30/F30*100</f>
        <v>0</v>
      </c>
      <c r="N30" s="830"/>
      <c r="P30" s="815"/>
    </row>
    <row r="31" spans="1:16" s="529" customFormat="1" ht="20.100000000000001" customHeight="1" x14ac:dyDescent="0.2">
      <c r="A31" s="507">
        <v>3742</v>
      </c>
      <c r="B31" s="625" t="s">
        <v>121</v>
      </c>
      <c r="C31" s="494">
        <v>2</v>
      </c>
      <c r="D31" s="518">
        <v>0.64</v>
      </c>
      <c r="E31" s="494">
        <v>5</v>
      </c>
      <c r="F31" s="575">
        <v>1</v>
      </c>
      <c r="G31" s="495">
        <v>0</v>
      </c>
      <c r="H31" s="1046">
        <v>0</v>
      </c>
      <c r="I31" s="531">
        <v>0</v>
      </c>
      <c r="J31" s="1122">
        <v>0</v>
      </c>
      <c r="K31" s="1065">
        <f t="shared" si="10"/>
        <v>0</v>
      </c>
      <c r="L31" s="476">
        <f t="shared" ref="L31" si="12">K31/E31*100</f>
        <v>0</v>
      </c>
      <c r="M31" s="477">
        <f t="shared" si="11"/>
        <v>0</v>
      </c>
      <c r="N31" s="830"/>
      <c r="P31" s="815"/>
    </row>
    <row r="32" spans="1:16" s="529" customFormat="1" ht="20.100000000000001" customHeight="1" x14ac:dyDescent="0.2">
      <c r="A32" s="507">
        <v>4350</v>
      </c>
      <c r="B32" s="625" t="s">
        <v>122</v>
      </c>
      <c r="C32" s="494">
        <v>305</v>
      </c>
      <c r="D32" s="518">
        <v>8.4499999999999993</v>
      </c>
      <c r="E32" s="494">
        <v>136</v>
      </c>
      <c r="F32" s="575">
        <v>127.27</v>
      </c>
      <c r="G32" s="495">
        <v>16.88</v>
      </c>
      <c r="H32" s="1081">
        <v>150</v>
      </c>
      <c r="I32" s="531">
        <v>0</v>
      </c>
      <c r="J32" s="1122">
        <v>0</v>
      </c>
      <c r="K32" s="1065">
        <f t="shared" si="0"/>
        <v>150</v>
      </c>
      <c r="L32" s="476">
        <f t="shared" si="8"/>
        <v>110.29411764705883</v>
      </c>
      <c r="M32" s="477">
        <f t="shared" si="9"/>
        <v>117.85966842146618</v>
      </c>
      <c r="N32" s="830"/>
      <c r="P32" s="815"/>
    </row>
    <row r="33" spans="1:16" s="529" customFormat="1" ht="30" customHeight="1" x14ac:dyDescent="0.2">
      <c r="A33" s="507">
        <v>4357</v>
      </c>
      <c r="B33" s="546" t="s">
        <v>199</v>
      </c>
      <c r="C33" s="494">
        <v>3</v>
      </c>
      <c r="D33" s="518">
        <v>2.92</v>
      </c>
      <c r="E33" s="494">
        <v>3</v>
      </c>
      <c r="F33" s="575">
        <v>3</v>
      </c>
      <c r="G33" s="495">
        <v>0</v>
      </c>
      <c r="H33" s="530">
        <v>150</v>
      </c>
      <c r="I33" s="531">
        <v>0</v>
      </c>
      <c r="J33" s="1122">
        <v>0</v>
      </c>
      <c r="K33" s="1065">
        <f t="shared" si="0"/>
        <v>150</v>
      </c>
      <c r="L33" s="476" t="s">
        <v>60</v>
      </c>
      <c r="M33" s="477" t="s">
        <v>60</v>
      </c>
      <c r="N33" s="830"/>
      <c r="P33" s="815"/>
    </row>
    <row r="34" spans="1:16" s="529" customFormat="1" ht="30" customHeight="1" x14ac:dyDescent="0.2">
      <c r="A34" s="507">
        <v>4399</v>
      </c>
      <c r="B34" s="546" t="s">
        <v>183</v>
      </c>
      <c r="C34" s="471">
        <v>3</v>
      </c>
      <c r="D34" s="472">
        <v>3</v>
      </c>
      <c r="E34" s="471">
        <v>3</v>
      </c>
      <c r="F34" s="1196">
        <v>3</v>
      </c>
      <c r="G34" s="490">
        <v>0</v>
      </c>
      <c r="H34" s="530">
        <v>0</v>
      </c>
      <c r="I34" s="905">
        <v>0</v>
      </c>
      <c r="J34" s="1087">
        <v>0</v>
      </c>
      <c r="K34" s="1065">
        <f t="shared" si="0"/>
        <v>0</v>
      </c>
      <c r="L34" s="476">
        <f t="shared" si="4"/>
        <v>0</v>
      </c>
      <c r="M34" s="477">
        <f t="shared" si="5"/>
        <v>0</v>
      </c>
      <c r="N34" s="830"/>
      <c r="P34" s="815"/>
    </row>
    <row r="35" spans="1:16" s="529" customFormat="1" ht="30" customHeight="1" x14ac:dyDescent="0.2">
      <c r="A35" s="507">
        <v>5599</v>
      </c>
      <c r="B35" s="546" t="s">
        <v>272</v>
      </c>
      <c r="C35" s="471">
        <v>3</v>
      </c>
      <c r="D35" s="472">
        <v>0</v>
      </c>
      <c r="E35" s="471">
        <v>3</v>
      </c>
      <c r="F35" s="1196">
        <v>3</v>
      </c>
      <c r="G35" s="490">
        <v>0</v>
      </c>
      <c r="H35" s="530">
        <v>0</v>
      </c>
      <c r="I35" s="905">
        <v>0</v>
      </c>
      <c r="J35" s="1087">
        <v>0</v>
      </c>
      <c r="K35" s="1065">
        <f t="shared" si="0"/>
        <v>0</v>
      </c>
      <c r="L35" s="476">
        <f t="shared" si="4"/>
        <v>0</v>
      </c>
      <c r="M35" s="477">
        <f t="shared" si="5"/>
        <v>0</v>
      </c>
      <c r="N35" s="830"/>
      <c r="P35" s="815"/>
    </row>
    <row r="36" spans="1:16" s="529" customFormat="1" ht="20.100000000000001" customHeight="1" thickBot="1" x14ac:dyDescent="0.25">
      <c r="A36" s="507">
        <v>6172</v>
      </c>
      <c r="B36" s="625" t="s">
        <v>105</v>
      </c>
      <c r="C36" s="494">
        <v>2186</v>
      </c>
      <c r="D36" s="518">
        <v>1356.44</v>
      </c>
      <c r="E36" s="494">
        <v>1887</v>
      </c>
      <c r="F36" s="575">
        <v>2338.11</v>
      </c>
      <c r="G36" s="495">
        <v>1043.78</v>
      </c>
      <c r="H36" s="1081">
        <v>2996</v>
      </c>
      <c r="I36" s="1082">
        <v>0</v>
      </c>
      <c r="J36" s="1083">
        <v>0</v>
      </c>
      <c r="K36" s="1065">
        <f t="shared" si="0"/>
        <v>2996</v>
      </c>
      <c r="L36" s="476">
        <f t="shared" si="4"/>
        <v>158.77053524112347</v>
      </c>
      <c r="M36" s="477">
        <f t="shared" si="5"/>
        <v>128.13768385576384</v>
      </c>
      <c r="N36" s="830"/>
    </row>
    <row r="37" spans="1:16" ht="20.100000000000001" customHeight="1" thickBot="1" x14ac:dyDescent="0.25">
      <c r="A37" s="182"/>
      <c r="B37" s="417" t="s">
        <v>85</v>
      </c>
      <c r="C37" s="183">
        <f t="shared" ref="C37:K37" si="13">SUM(C9:C36)</f>
        <v>4929</v>
      </c>
      <c r="D37" s="184">
        <f t="shared" si="13"/>
        <v>1652.17</v>
      </c>
      <c r="E37" s="183">
        <f t="shared" si="13"/>
        <v>2974</v>
      </c>
      <c r="F37" s="185">
        <f t="shared" si="13"/>
        <v>3695.08</v>
      </c>
      <c r="G37" s="184">
        <f t="shared" si="13"/>
        <v>1638.8</v>
      </c>
      <c r="H37" s="183">
        <f t="shared" si="13"/>
        <v>4000</v>
      </c>
      <c r="I37" s="982">
        <f t="shared" si="13"/>
        <v>0</v>
      </c>
      <c r="J37" s="193">
        <f t="shared" si="13"/>
        <v>0</v>
      </c>
      <c r="K37" s="983">
        <f t="shared" si="13"/>
        <v>4000</v>
      </c>
      <c r="L37" s="194">
        <f t="shared" si="4"/>
        <v>134.49899125756556</v>
      </c>
      <c r="M37" s="187">
        <f t="shared" si="5"/>
        <v>108.25205408272622</v>
      </c>
      <c r="N37" s="830"/>
    </row>
    <row r="38" spans="1:16" ht="15" customHeight="1" x14ac:dyDescent="0.25">
      <c r="A38" s="20"/>
      <c r="B38" s="20"/>
      <c r="C38" s="170"/>
      <c r="D38" s="169"/>
      <c r="E38" s="170"/>
      <c r="F38" s="172"/>
      <c r="G38" s="172"/>
      <c r="H38" s="172"/>
      <c r="I38" s="172"/>
      <c r="J38" s="172"/>
      <c r="K38" s="172"/>
      <c r="L38" s="24"/>
      <c r="M38" s="25"/>
      <c r="N38" s="830"/>
    </row>
    <row r="39" spans="1:16" x14ac:dyDescent="0.2">
      <c r="C39" s="3"/>
      <c r="E39" s="3"/>
      <c r="K39" s="3"/>
      <c r="N39" s="830"/>
    </row>
    <row r="40" spans="1:16" x14ac:dyDescent="0.2">
      <c r="N40" s="529"/>
    </row>
    <row r="41" spans="1:16" x14ac:dyDescent="0.2">
      <c r="N41" s="17"/>
    </row>
    <row r="42" spans="1:16" x14ac:dyDescent="0.2">
      <c r="N42" s="17"/>
    </row>
  </sheetData>
  <mergeCells count="8">
    <mergeCell ref="A2:M2"/>
    <mergeCell ref="A6:A7"/>
    <mergeCell ref="B6:B7"/>
    <mergeCell ref="C6:D6"/>
    <mergeCell ref="E6:G6"/>
    <mergeCell ref="H6:K6"/>
    <mergeCell ref="L6:L7"/>
    <mergeCell ref="M6:M7"/>
  </mergeCells>
  <printOptions horizontalCentered="1"/>
  <pageMargins left="0.59055118110236227" right="0.59055118110236227" top="0.78740157480314965" bottom="0.78740157480314965" header="0.59055118110236227" footer="0.59055118110236227"/>
  <pageSetup paperSize="9" scale="66"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28"/>
  <sheetViews>
    <sheetView workbookViewId="0"/>
  </sheetViews>
  <sheetFormatPr defaultColWidth="9.140625" defaultRowHeight="12.75" x14ac:dyDescent="0.2"/>
  <cols>
    <col min="1" max="1" width="7.42578125" style="67" customWidth="1"/>
    <col min="2" max="2" width="6.7109375" style="1" customWidth="1"/>
    <col min="3" max="3" width="41.7109375" style="1" customWidth="1"/>
    <col min="4" max="4" width="14.7109375" style="2" customWidth="1"/>
    <col min="5" max="5" width="14.7109375" style="3" customWidth="1"/>
    <col min="6" max="6" width="14.7109375" style="2" customWidth="1"/>
    <col min="7" max="9" width="14.7109375" style="3" customWidth="1"/>
    <col min="10" max="10" width="15.5703125" style="3" customWidth="1"/>
    <col min="11" max="11" width="14.7109375" style="3" customWidth="1"/>
    <col min="12" max="12" width="14.7109375" style="843" customWidth="1"/>
    <col min="13" max="14" width="9.7109375" style="5" customWidth="1"/>
    <col min="15" max="15" width="10.42578125" style="1" customWidth="1"/>
    <col min="16" max="16384" width="9.140625" style="1"/>
  </cols>
  <sheetData>
    <row r="1" spans="1:16" ht="15" customHeight="1" x14ac:dyDescent="0.25">
      <c r="N1" s="6"/>
    </row>
    <row r="2" spans="1:16" ht="20.100000000000001" customHeight="1" x14ac:dyDescent="0.35">
      <c r="A2" s="1284" t="s">
        <v>570</v>
      </c>
      <c r="B2" s="1206"/>
      <c r="C2" s="1206"/>
      <c r="D2" s="1206"/>
      <c r="E2" s="1206"/>
      <c r="F2" s="1206"/>
      <c r="G2" s="1206"/>
      <c r="H2" s="1206"/>
      <c r="I2" s="1206"/>
      <c r="J2" s="1206"/>
      <c r="K2" s="1206"/>
      <c r="L2" s="1206"/>
      <c r="M2" s="1206"/>
      <c r="N2" s="1285"/>
    </row>
    <row r="3" spans="1:16" ht="15" customHeight="1" x14ac:dyDescent="0.2"/>
    <row r="4" spans="1:16" ht="20.100000000000001" customHeight="1" x14ac:dyDescent="0.25">
      <c r="A4" s="68" t="s">
        <v>262</v>
      </c>
      <c r="M4" s="8"/>
    </row>
    <row r="5" spans="1:16" ht="15" customHeight="1" thickBot="1" x14ac:dyDescent="0.3">
      <c r="A5" s="68"/>
      <c r="N5" s="8" t="s">
        <v>0</v>
      </c>
    </row>
    <row r="6" spans="1:16"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6"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6" s="9" customFormat="1" ht="20.100000000000001" customHeight="1" thickBot="1" x14ac:dyDescent="0.3">
      <c r="A8" s="69"/>
      <c r="B8" s="10" t="s">
        <v>104</v>
      </c>
      <c r="C8" s="10"/>
      <c r="D8" s="11"/>
      <c r="E8" s="12"/>
      <c r="F8" s="11"/>
      <c r="G8" s="13"/>
      <c r="H8" s="13"/>
      <c r="I8" s="13"/>
      <c r="J8" s="13"/>
      <c r="K8" s="13"/>
      <c r="L8" s="271"/>
      <c r="M8" s="16"/>
      <c r="N8" s="16"/>
    </row>
    <row r="9" spans="1:16" s="527" customFormat="1" ht="20.100000000000001" customHeight="1" x14ac:dyDescent="0.2">
      <c r="A9" s="1322">
        <v>6172</v>
      </c>
      <c r="B9" s="1316" t="s">
        <v>105</v>
      </c>
      <c r="C9" s="1317"/>
      <c r="D9" s="453">
        <f>SUM(D10:D21)</f>
        <v>565419</v>
      </c>
      <c r="E9" s="488">
        <f>SUM(E10:E21)</f>
        <v>583382.73</v>
      </c>
      <c r="F9" s="453">
        <f>SUM(F10:F21)</f>
        <v>680544</v>
      </c>
      <c r="G9" s="456">
        <f t="shared" ref="G9:K9" si="0">SUM(G10:G21)</f>
        <v>693462.71799999988</v>
      </c>
      <c r="H9" s="457">
        <f t="shared" si="0"/>
        <v>421740.48000000004</v>
      </c>
      <c r="I9" s="489">
        <f t="shared" si="0"/>
        <v>686607</v>
      </c>
      <c r="J9" s="455">
        <f t="shared" si="0"/>
        <v>19922</v>
      </c>
      <c r="K9" s="1077">
        <f t="shared" si="0"/>
        <v>11680</v>
      </c>
      <c r="L9" s="904">
        <f>SUM(I9:K9)</f>
        <v>718209</v>
      </c>
      <c r="M9" s="493">
        <f t="shared" ref="M9:M25" si="1">L9/F9*100</f>
        <v>105.53454295387219</v>
      </c>
      <c r="N9" s="459">
        <f>L9/G9*100</f>
        <v>103.5685093600086</v>
      </c>
      <c r="O9" s="547"/>
    </row>
    <row r="10" spans="1:16" ht="15" customHeight="1" x14ac:dyDescent="0.2">
      <c r="A10" s="1311"/>
      <c r="B10" s="1312" t="s">
        <v>96</v>
      </c>
      <c r="C10" s="201" t="s">
        <v>228</v>
      </c>
      <c r="D10" s="1052">
        <v>401000</v>
      </c>
      <c r="E10" s="1053">
        <v>419867.43</v>
      </c>
      <c r="F10" s="1052">
        <v>478740</v>
      </c>
      <c r="G10" s="999">
        <v>485642.07</v>
      </c>
      <c r="H10" s="1000">
        <v>300397.61</v>
      </c>
      <c r="I10" s="1113">
        <v>490000</v>
      </c>
      <c r="J10" s="1098">
        <v>10000</v>
      </c>
      <c r="K10" s="1099">
        <v>5000</v>
      </c>
      <c r="L10" s="1114">
        <f>SUM(I10:K10)</f>
        <v>505000</v>
      </c>
      <c r="M10" s="92">
        <f t="shared" si="1"/>
        <v>105.48523206751055</v>
      </c>
      <c r="N10" s="64">
        <f>L10/G10*100</f>
        <v>103.98604881986439</v>
      </c>
      <c r="O10" s="17"/>
    </row>
    <row r="11" spans="1:16" ht="15" customHeight="1" x14ac:dyDescent="0.2">
      <c r="A11" s="1311"/>
      <c r="B11" s="1313"/>
      <c r="C11" s="201" t="s">
        <v>500</v>
      </c>
      <c r="D11" s="1054">
        <v>11100</v>
      </c>
      <c r="E11" s="1055">
        <v>10287.469999999999</v>
      </c>
      <c r="F11" s="1054">
        <v>11100</v>
      </c>
      <c r="G11" s="367">
        <v>12518.33</v>
      </c>
      <c r="H11" s="93">
        <v>10849.19</v>
      </c>
      <c r="I11" s="83">
        <v>9900</v>
      </c>
      <c r="J11" s="906">
        <v>1500</v>
      </c>
      <c r="K11" s="907">
        <v>1600</v>
      </c>
      <c r="L11" s="1071">
        <f t="shared" ref="L11:L22" si="2">SUM(I11:K11)</f>
        <v>13000</v>
      </c>
      <c r="M11" s="92">
        <f t="shared" si="1"/>
        <v>117.11711711711712</v>
      </c>
      <c r="N11" s="64">
        <f t="shared" ref="N11:N17" si="3">L11/G11*100</f>
        <v>103.84771770675481</v>
      </c>
      <c r="O11" s="270"/>
      <c r="P11" s="2"/>
    </row>
    <row r="12" spans="1:16" ht="25.5" customHeight="1" x14ac:dyDescent="0.2">
      <c r="A12" s="1311"/>
      <c r="B12" s="1313"/>
      <c r="C12" s="201" t="s">
        <v>501</v>
      </c>
      <c r="D12" s="80">
        <v>146030</v>
      </c>
      <c r="E12" s="93">
        <v>147281.68</v>
      </c>
      <c r="F12" s="80">
        <v>172063</v>
      </c>
      <c r="G12" s="367">
        <v>176726.3</v>
      </c>
      <c r="H12" s="93">
        <v>105046</v>
      </c>
      <c r="I12" s="83">
        <v>173430</v>
      </c>
      <c r="J12" s="906">
        <v>5500</v>
      </c>
      <c r="K12" s="907">
        <v>2900</v>
      </c>
      <c r="L12" s="1071">
        <f t="shared" si="2"/>
        <v>181830</v>
      </c>
      <c r="M12" s="92">
        <f t="shared" si="1"/>
        <v>105.67640922220349</v>
      </c>
      <c r="N12" s="79">
        <f t="shared" si="3"/>
        <v>102.88791198593532</v>
      </c>
      <c r="O12" s="17"/>
    </row>
    <row r="13" spans="1:16" ht="15" customHeight="1" x14ac:dyDescent="0.2">
      <c r="A13" s="1311"/>
      <c r="B13" s="1313"/>
      <c r="C13" s="201" t="s">
        <v>502</v>
      </c>
      <c r="D13" s="1054">
        <v>20</v>
      </c>
      <c r="E13" s="1055">
        <v>0</v>
      </c>
      <c r="F13" s="1054">
        <v>25</v>
      </c>
      <c r="G13" s="367">
        <v>25</v>
      </c>
      <c r="H13" s="93">
        <v>0</v>
      </c>
      <c r="I13" s="83">
        <v>0</v>
      </c>
      <c r="J13" s="906">
        <v>0</v>
      </c>
      <c r="K13" s="907">
        <v>0</v>
      </c>
      <c r="L13" s="1071">
        <f>SUM(I13:K13)</f>
        <v>0</v>
      </c>
      <c r="M13" s="92">
        <f t="shared" si="1"/>
        <v>0</v>
      </c>
      <c r="N13" s="64">
        <f>L13/G13*100</f>
        <v>0</v>
      </c>
      <c r="O13" s="17"/>
    </row>
    <row r="14" spans="1:16" ht="15" customHeight="1" x14ac:dyDescent="0.2">
      <c r="A14" s="1311"/>
      <c r="B14" s="1313"/>
      <c r="C14" s="201" t="s">
        <v>503</v>
      </c>
      <c r="D14" s="1054">
        <v>200</v>
      </c>
      <c r="E14" s="1055">
        <v>79.430000000000007</v>
      </c>
      <c r="F14" s="1054">
        <v>200</v>
      </c>
      <c r="G14" s="367">
        <v>202.178</v>
      </c>
      <c r="H14" s="93">
        <v>93.05</v>
      </c>
      <c r="I14" s="80">
        <v>120</v>
      </c>
      <c r="J14" s="1069">
        <v>60</v>
      </c>
      <c r="K14" s="1115">
        <v>40</v>
      </c>
      <c r="L14" s="1071">
        <f t="shared" si="2"/>
        <v>220</v>
      </c>
      <c r="M14" s="92">
        <f t="shared" si="1"/>
        <v>110.00000000000001</v>
      </c>
      <c r="N14" s="64">
        <f t="shared" si="3"/>
        <v>108.81500459990701</v>
      </c>
      <c r="O14" s="17"/>
    </row>
    <row r="15" spans="1:16" ht="15" customHeight="1" x14ac:dyDescent="0.2">
      <c r="A15" s="1311"/>
      <c r="B15" s="1313"/>
      <c r="C15" s="681" t="s">
        <v>264</v>
      </c>
      <c r="D15" s="1054">
        <v>0</v>
      </c>
      <c r="E15" s="1055">
        <v>0</v>
      </c>
      <c r="F15" s="1054">
        <v>0</v>
      </c>
      <c r="G15" s="367">
        <v>0.2</v>
      </c>
      <c r="H15" s="93">
        <v>0.15</v>
      </c>
      <c r="I15" s="80">
        <v>0</v>
      </c>
      <c r="J15" s="1069">
        <v>0</v>
      </c>
      <c r="K15" s="1115">
        <v>0</v>
      </c>
      <c r="L15" s="1071">
        <f t="shared" ref="L15" si="4">SUM(I15:K15)</f>
        <v>0</v>
      </c>
      <c r="M15" s="92" t="s">
        <v>60</v>
      </c>
      <c r="N15" s="64">
        <f t="shared" ref="N15" si="5">L15/G15*100</f>
        <v>0</v>
      </c>
      <c r="O15" s="17"/>
    </row>
    <row r="16" spans="1:16" ht="15" customHeight="1" x14ac:dyDescent="0.2">
      <c r="A16" s="1311"/>
      <c r="B16" s="1313"/>
      <c r="C16" s="201" t="s">
        <v>504</v>
      </c>
      <c r="D16" s="1054">
        <v>3470</v>
      </c>
      <c r="E16" s="1055">
        <v>1807.29</v>
      </c>
      <c r="F16" s="1054">
        <v>13820</v>
      </c>
      <c r="G16" s="1001">
        <v>13557.84</v>
      </c>
      <c r="H16" s="75">
        <v>2317.46</v>
      </c>
      <c r="I16" s="74">
        <v>8887</v>
      </c>
      <c r="J16" s="346">
        <v>2602</v>
      </c>
      <c r="K16" s="1116">
        <v>2000</v>
      </c>
      <c r="L16" s="1071">
        <f t="shared" si="2"/>
        <v>13489</v>
      </c>
      <c r="M16" s="92">
        <f t="shared" si="1"/>
        <v>97.604920405209839</v>
      </c>
      <c r="N16" s="64">
        <f t="shared" si="3"/>
        <v>99.492249502870663</v>
      </c>
      <c r="O16" s="17"/>
    </row>
    <row r="17" spans="1:15" ht="15" customHeight="1" x14ac:dyDescent="0.2">
      <c r="A17" s="1311"/>
      <c r="B17" s="1313"/>
      <c r="C17" s="201" t="s">
        <v>505</v>
      </c>
      <c r="D17" s="1054">
        <v>200</v>
      </c>
      <c r="E17" s="1055">
        <v>186.2</v>
      </c>
      <c r="F17" s="1054">
        <v>200</v>
      </c>
      <c r="G17" s="1001">
        <v>361.8</v>
      </c>
      <c r="H17" s="75">
        <v>222.42</v>
      </c>
      <c r="I17" s="1004">
        <v>200</v>
      </c>
      <c r="J17" s="1117">
        <v>60</v>
      </c>
      <c r="K17" s="1118">
        <v>40</v>
      </c>
      <c r="L17" s="1071">
        <f t="shared" si="2"/>
        <v>300</v>
      </c>
      <c r="M17" s="92">
        <f t="shared" si="1"/>
        <v>150</v>
      </c>
      <c r="N17" s="64">
        <f t="shared" si="3"/>
        <v>82.91873963515755</v>
      </c>
      <c r="O17" s="17"/>
    </row>
    <row r="18" spans="1:15" s="67" customFormat="1" ht="27" customHeight="1" x14ac:dyDescent="0.2">
      <c r="A18" s="1311"/>
      <c r="B18" s="1313"/>
      <c r="C18" s="201" t="s">
        <v>334</v>
      </c>
      <c r="D18" s="80">
        <v>0</v>
      </c>
      <c r="E18" s="93">
        <v>0</v>
      </c>
      <c r="F18" s="80">
        <v>800</v>
      </c>
      <c r="G18" s="1001">
        <v>801</v>
      </c>
      <c r="H18" s="75">
        <v>528.67999999999995</v>
      </c>
      <c r="I18" s="1004">
        <v>800</v>
      </c>
      <c r="J18" s="1117">
        <v>0</v>
      </c>
      <c r="K18" s="1118">
        <v>0</v>
      </c>
      <c r="L18" s="1071">
        <f t="shared" si="2"/>
        <v>800</v>
      </c>
      <c r="M18" s="92">
        <f t="shared" ref="M18" si="6">L18/F18*100</f>
        <v>100</v>
      </c>
      <c r="N18" s="79">
        <f t="shared" ref="N18" si="7">L18/G18*100</f>
        <v>99.875156054931338</v>
      </c>
      <c r="O18" s="345"/>
    </row>
    <row r="19" spans="1:15" s="67" customFormat="1" ht="27" customHeight="1" x14ac:dyDescent="0.2">
      <c r="A19" s="1311"/>
      <c r="B19" s="1313"/>
      <c r="C19" s="980" t="s">
        <v>517</v>
      </c>
      <c r="D19" s="1056">
        <v>0</v>
      </c>
      <c r="E19" s="99">
        <v>0</v>
      </c>
      <c r="F19" s="1056">
        <v>0</v>
      </c>
      <c r="G19" s="1001">
        <v>32</v>
      </c>
      <c r="H19" s="75">
        <v>32</v>
      </c>
      <c r="I19" s="1004">
        <v>0</v>
      </c>
      <c r="J19" s="1117">
        <v>0</v>
      </c>
      <c r="K19" s="1118">
        <v>0</v>
      </c>
      <c r="L19" s="1071">
        <f t="shared" ref="L19" si="8">SUM(I19:K19)</f>
        <v>0</v>
      </c>
      <c r="M19" s="92" t="s">
        <v>60</v>
      </c>
      <c r="N19" s="64">
        <f t="shared" ref="N19" si="9">L19/G19*100</f>
        <v>0</v>
      </c>
      <c r="O19" s="345"/>
    </row>
    <row r="20" spans="1:15" ht="15" customHeight="1" x14ac:dyDescent="0.2">
      <c r="A20" s="1311"/>
      <c r="B20" s="1313"/>
      <c r="C20" s="201" t="s">
        <v>506</v>
      </c>
      <c r="D20" s="1054">
        <v>3310</v>
      </c>
      <c r="E20" s="1055">
        <v>3798.72</v>
      </c>
      <c r="F20" s="1054">
        <v>3500</v>
      </c>
      <c r="G20" s="1001">
        <v>3500</v>
      </c>
      <c r="H20" s="75">
        <v>2212.59</v>
      </c>
      <c r="I20" s="1004">
        <v>3200</v>
      </c>
      <c r="J20" s="1117">
        <v>200</v>
      </c>
      <c r="K20" s="1118">
        <v>100</v>
      </c>
      <c r="L20" s="1071">
        <f t="shared" si="2"/>
        <v>3500</v>
      </c>
      <c r="M20" s="92">
        <f t="shared" si="1"/>
        <v>100</v>
      </c>
      <c r="N20" s="79">
        <f t="shared" ref="N20:N25" si="10">L20/G20*100</f>
        <v>100</v>
      </c>
      <c r="O20" s="17"/>
    </row>
    <row r="21" spans="1:15" ht="51" customHeight="1" x14ac:dyDescent="0.2">
      <c r="A21" s="1311"/>
      <c r="B21" s="1313"/>
      <c r="C21" s="201" t="s">
        <v>507</v>
      </c>
      <c r="D21" s="80">
        <v>89</v>
      </c>
      <c r="E21" s="93">
        <v>74.510000000000005</v>
      </c>
      <c r="F21" s="80">
        <v>96</v>
      </c>
      <c r="G21" s="1001">
        <v>96</v>
      </c>
      <c r="H21" s="75">
        <v>41.33</v>
      </c>
      <c r="I21" s="1004">
        <v>70</v>
      </c>
      <c r="J21" s="1117">
        <v>0</v>
      </c>
      <c r="K21" s="1118">
        <v>0</v>
      </c>
      <c r="L21" s="1071">
        <f t="shared" si="2"/>
        <v>70</v>
      </c>
      <c r="M21" s="92">
        <f t="shared" si="1"/>
        <v>72.916666666666657</v>
      </c>
      <c r="N21" s="79">
        <f t="shared" si="10"/>
        <v>72.916666666666657</v>
      </c>
      <c r="O21" s="17"/>
    </row>
    <row r="22" spans="1:15" ht="15" customHeight="1" x14ac:dyDescent="0.2">
      <c r="A22" s="1311"/>
      <c r="B22" s="655" t="s">
        <v>96</v>
      </c>
      <c r="C22" s="669" t="s">
        <v>400</v>
      </c>
      <c r="D22" s="1054">
        <v>558130</v>
      </c>
      <c r="E22" s="1055">
        <f>SUM(E10:E12)</f>
        <v>577436.57999999996</v>
      </c>
      <c r="F22" s="1054">
        <v>661903</v>
      </c>
      <c r="G22" s="1001">
        <f>SUM(G10:G12)</f>
        <v>674886.7</v>
      </c>
      <c r="H22" s="75">
        <f t="shared" ref="H22:K22" si="11">SUM(H10:H12)</f>
        <v>416292.8</v>
      </c>
      <c r="I22" s="1004">
        <f t="shared" si="11"/>
        <v>673330</v>
      </c>
      <c r="J22" s="1117">
        <f t="shared" si="11"/>
        <v>17000</v>
      </c>
      <c r="K22" s="1118">
        <f t="shared" si="11"/>
        <v>9500</v>
      </c>
      <c r="L22" s="1071">
        <f t="shared" si="2"/>
        <v>699830</v>
      </c>
      <c r="M22" s="92">
        <f t="shared" si="1"/>
        <v>105.72999366976732</v>
      </c>
      <c r="N22" s="79">
        <f t="shared" si="10"/>
        <v>103.6959240714034</v>
      </c>
    </row>
    <row r="23" spans="1:15" s="20" customFormat="1" ht="29.25" customHeight="1" x14ac:dyDescent="0.25">
      <c r="A23" s="507">
        <v>6330</v>
      </c>
      <c r="B23" s="1302" t="s">
        <v>202</v>
      </c>
      <c r="C23" s="1303"/>
      <c r="D23" s="471">
        <v>0</v>
      </c>
      <c r="E23" s="490">
        <v>19970.32</v>
      </c>
      <c r="F23" s="471">
        <v>0</v>
      </c>
      <c r="G23" s="496">
        <v>21580.400000000001</v>
      </c>
      <c r="H23" s="504">
        <v>16540.2</v>
      </c>
      <c r="I23" s="1081">
        <v>0</v>
      </c>
      <c r="J23" s="1082">
        <v>0</v>
      </c>
      <c r="K23" s="1083">
        <v>0</v>
      </c>
      <c r="L23" s="1065">
        <f>SUM(I23:K23)</f>
        <v>0</v>
      </c>
      <c r="M23" s="505" t="s">
        <v>60</v>
      </c>
      <c r="N23" s="477">
        <f t="shared" si="10"/>
        <v>0</v>
      </c>
    </row>
    <row r="24" spans="1:15" s="527" customFormat="1" ht="20.100000000000001" customHeight="1" thickBot="1" x14ac:dyDescent="0.25">
      <c r="A24" s="514">
        <v>6409</v>
      </c>
      <c r="B24" s="1397" t="s">
        <v>280</v>
      </c>
      <c r="C24" s="1398"/>
      <c r="D24" s="498">
        <v>16040</v>
      </c>
      <c r="E24" s="577">
        <v>0</v>
      </c>
      <c r="F24" s="498">
        <v>19118</v>
      </c>
      <c r="G24" s="499">
        <v>0</v>
      </c>
      <c r="H24" s="581">
        <v>0</v>
      </c>
      <c r="I24" s="787">
        <v>24500</v>
      </c>
      <c r="J24" s="1119">
        <v>500</v>
      </c>
      <c r="K24" s="1120">
        <v>250</v>
      </c>
      <c r="L24" s="1121">
        <f>SUM(I24:K24)</f>
        <v>25250</v>
      </c>
      <c r="M24" s="979">
        <f t="shared" ref="M24" si="12">L24/F24*100</f>
        <v>132.07448477874254</v>
      </c>
      <c r="N24" s="477" t="s">
        <v>60</v>
      </c>
    </row>
    <row r="25" spans="1:15" ht="20.100000000000001" customHeight="1" thickBot="1" x14ac:dyDescent="0.3">
      <c r="A25" s="188"/>
      <c r="B25" s="1395" t="s">
        <v>85</v>
      </c>
      <c r="C25" s="1396"/>
      <c r="D25" s="183">
        <f t="shared" ref="D25:L25" si="13">+D9+D23+D24</f>
        <v>581459</v>
      </c>
      <c r="E25" s="184">
        <f t="shared" si="13"/>
        <v>603353.04999999993</v>
      </c>
      <c r="F25" s="183">
        <f t="shared" si="13"/>
        <v>699662</v>
      </c>
      <c r="G25" s="185">
        <f t="shared" si="13"/>
        <v>715043.1179999999</v>
      </c>
      <c r="H25" s="184">
        <f t="shared" si="13"/>
        <v>438280.68000000005</v>
      </c>
      <c r="I25" s="183">
        <f t="shared" si="13"/>
        <v>711107</v>
      </c>
      <c r="J25" s="982">
        <f t="shared" si="13"/>
        <v>20422</v>
      </c>
      <c r="K25" s="193">
        <f t="shared" si="13"/>
        <v>11930</v>
      </c>
      <c r="L25" s="1067">
        <f t="shared" si="13"/>
        <v>743459</v>
      </c>
      <c r="M25" s="194">
        <f t="shared" si="1"/>
        <v>106.25973684436198</v>
      </c>
      <c r="N25" s="191">
        <f t="shared" si="10"/>
        <v>103.97400957853846</v>
      </c>
    </row>
    <row r="26" spans="1:15" ht="15" x14ac:dyDescent="0.25">
      <c r="A26" s="70"/>
      <c r="B26" s="20"/>
      <c r="C26" s="20"/>
      <c r="D26" s="170"/>
      <c r="E26" s="169"/>
      <c r="F26" s="170"/>
      <c r="G26" s="172"/>
      <c r="H26" s="172"/>
      <c r="I26" s="172"/>
      <c r="J26" s="172"/>
      <c r="K26" s="172"/>
      <c r="L26" s="172"/>
      <c r="M26" s="24"/>
      <c r="N26" s="25"/>
    </row>
    <row r="27" spans="1:15" x14ac:dyDescent="0.2">
      <c r="D27" s="3"/>
      <c r="F27" s="3"/>
      <c r="L27" s="3"/>
    </row>
    <row r="28" spans="1:15" x14ac:dyDescent="0.2">
      <c r="D28" s="3"/>
      <c r="F28" s="3"/>
      <c r="L28" s="3"/>
    </row>
  </sheetData>
  <mergeCells count="14">
    <mergeCell ref="B25:C25"/>
    <mergeCell ref="A2:N2"/>
    <mergeCell ref="A6:A7"/>
    <mergeCell ref="B6:C7"/>
    <mergeCell ref="D6:E6"/>
    <mergeCell ref="F6:H6"/>
    <mergeCell ref="I6:L6"/>
    <mergeCell ref="M6:M7"/>
    <mergeCell ref="N6:N7"/>
    <mergeCell ref="B23:C23"/>
    <mergeCell ref="B24:C24"/>
    <mergeCell ref="A9:A22"/>
    <mergeCell ref="B9:C9"/>
    <mergeCell ref="B10:B21"/>
  </mergeCells>
  <dataValidations count="1">
    <dataValidation type="whole" operator="greaterThanOrEqual" allowBlank="1" showInputMessage="1" showErrorMessage="1" error="Nutno zadat celé číslo" sqref="I10:K13 I17:K21" xr:uid="{9FE6F147-BB8C-414D-9088-53E7E641AD3F}">
      <formula1>0</formula1>
    </dataValidation>
  </dataValidations>
  <pageMargins left="0.70866141732283472" right="0.70866141732283472" top="0.78740157480314965" bottom="0.78740157480314965" header="0.31496062992125984" footer="0.31496062992125984"/>
  <pageSetup paperSize="9"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V12"/>
  <sheetViews>
    <sheetView zoomScale="90" zoomScaleNormal="90" workbookViewId="0"/>
  </sheetViews>
  <sheetFormatPr defaultColWidth="9.140625" defaultRowHeight="12.75" x14ac:dyDescent="0.2"/>
  <cols>
    <col min="1" max="1" width="7.7109375" style="1" customWidth="1"/>
    <col min="2" max="2" width="46.7109375" style="1" customWidth="1"/>
    <col min="3" max="3" width="14.7109375" style="2" customWidth="1"/>
    <col min="4" max="4" width="14.7109375" style="3" customWidth="1"/>
    <col min="5" max="5" width="14.7109375" style="2" customWidth="1"/>
    <col min="6" max="7" width="14.7109375" style="3" customWidth="1"/>
    <col min="8" max="8" width="14.7109375" style="2" customWidth="1"/>
    <col min="9" max="9" width="16" style="2" customWidth="1"/>
    <col min="10" max="10" width="14.7109375" style="2" customWidth="1"/>
    <col min="11" max="11" width="14.7109375" style="4" customWidth="1"/>
    <col min="12" max="13" width="9.7109375" style="5" customWidth="1"/>
    <col min="14" max="16384" width="9.140625" style="1"/>
  </cols>
  <sheetData>
    <row r="1" spans="1:22" ht="15" x14ac:dyDescent="0.25">
      <c r="A1" s="29"/>
      <c r="B1" s="29"/>
      <c r="C1" s="29"/>
      <c r="D1" s="29"/>
      <c r="E1" s="29"/>
      <c r="F1" s="29"/>
      <c r="G1" s="29"/>
      <c r="H1" s="29"/>
      <c r="I1" s="29"/>
      <c r="J1" s="29"/>
      <c r="K1" s="29"/>
      <c r="L1" s="29"/>
      <c r="M1" s="6"/>
      <c r="N1" s="29"/>
      <c r="O1" s="29"/>
      <c r="P1" s="29"/>
      <c r="Q1" s="29"/>
      <c r="R1" s="29"/>
      <c r="S1" s="29"/>
      <c r="T1" s="29"/>
      <c r="U1" s="29"/>
      <c r="V1" s="29"/>
    </row>
    <row r="2" spans="1:22" ht="20.100000000000001" customHeight="1" x14ac:dyDescent="0.35">
      <c r="A2" s="1284" t="s">
        <v>570</v>
      </c>
      <c r="B2" s="1284"/>
      <c r="C2" s="1284"/>
      <c r="D2" s="1284"/>
      <c r="E2" s="1284"/>
      <c r="F2" s="1284"/>
      <c r="G2" s="1284"/>
      <c r="H2" s="1284"/>
      <c r="I2" s="1284"/>
      <c r="J2" s="1284"/>
      <c r="K2" s="1284"/>
      <c r="L2" s="1284"/>
      <c r="M2" s="1284"/>
      <c r="N2" s="29"/>
      <c r="O2" s="29"/>
      <c r="P2" s="29"/>
      <c r="Q2" s="29"/>
      <c r="R2" s="29"/>
      <c r="S2" s="29"/>
      <c r="T2" s="29"/>
      <c r="U2" s="29"/>
      <c r="V2" s="29"/>
    </row>
    <row r="3" spans="1:22" ht="15" customHeight="1" x14ac:dyDescent="0.2"/>
    <row r="4" spans="1:22" ht="20.100000000000001" customHeight="1" x14ac:dyDescent="0.3">
      <c r="A4" s="7" t="s">
        <v>242</v>
      </c>
      <c r="B4" s="29"/>
      <c r="C4" s="29"/>
      <c r="D4" s="29"/>
      <c r="E4" s="29"/>
      <c r="F4" s="29"/>
      <c r="G4" s="29"/>
      <c r="H4" s="29"/>
      <c r="I4" s="29"/>
      <c r="J4" s="29"/>
      <c r="K4" s="29"/>
      <c r="L4" s="127"/>
      <c r="M4" s="29"/>
      <c r="N4" s="29"/>
      <c r="O4" s="29"/>
      <c r="P4" s="29"/>
      <c r="Q4" s="29"/>
      <c r="R4" s="29"/>
      <c r="S4" s="29"/>
      <c r="T4" s="29"/>
      <c r="U4" s="29"/>
      <c r="V4" s="29"/>
    </row>
    <row r="5" spans="1:22" ht="15" customHeight="1" thickBot="1" x14ac:dyDescent="0.35">
      <c r="A5" s="7"/>
      <c r="B5" s="29"/>
      <c r="C5" s="29"/>
      <c r="D5" s="29"/>
      <c r="E5" s="29"/>
      <c r="F5" s="29"/>
      <c r="G5" s="29"/>
      <c r="H5" s="29"/>
      <c r="I5" s="29"/>
      <c r="J5" s="29"/>
      <c r="K5" s="29"/>
      <c r="L5" s="29"/>
      <c r="M5" s="127" t="s">
        <v>0</v>
      </c>
      <c r="N5" s="29"/>
      <c r="O5" s="29"/>
      <c r="P5" s="29"/>
      <c r="Q5" s="29"/>
      <c r="R5" s="29"/>
      <c r="S5" s="29"/>
      <c r="T5" s="29"/>
      <c r="U5" s="29"/>
      <c r="V5" s="29"/>
    </row>
    <row r="6" spans="1:22" ht="15.75" customHeight="1" x14ac:dyDescent="0.2">
      <c r="A6" s="1286" t="s">
        <v>88</v>
      </c>
      <c r="B6" s="1299" t="s">
        <v>103</v>
      </c>
      <c r="C6" s="1288" t="s">
        <v>283</v>
      </c>
      <c r="D6" s="1289"/>
      <c r="E6" s="1288" t="s">
        <v>390</v>
      </c>
      <c r="F6" s="1290"/>
      <c r="G6" s="1289"/>
      <c r="H6" s="1291" t="s">
        <v>484</v>
      </c>
      <c r="I6" s="1292"/>
      <c r="J6" s="1292"/>
      <c r="K6" s="1293"/>
      <c r="L6" s="1294" t="s">
        <v>485</v>
      </c>
      <c r="M6" s="1296" t="s">
        <v>489</v>
      </c>
      <c r="N6" s="62"/>
      <c r="O6" s="62"/>
      <c r="P6" s="62"/>
      <c r="Q6" s="62"/>
      <c r="R6" s="62"/>
      <c r="S6" s="62"/>
      <c r="T6" s="62"/>
      <c r="U6" s="62"/>
      <c r="V6" s="62"/>
    </row>
    <row r="7" spans="1:22" ht="27" customHeight="1" thickBot="1" x14ac:dyDescent="0.25">
      <c r="A7" s="1287"/>
      <c r="B7" s="1301"/>
      <c r="C7" s="179" t="s">
        <v>108</v>
      </c>
      <c r="D7" s="180" t="s">
        <v>127</v>
      </c>
      <c r="E7" s="267" t="s">
        <v>109</v>
      </c>
      <c r="F7" s="268" t="s">
        <v>586</v>
      </c>
      <c r="G7" s="269" t="s">
        <v>587</v>
      </c>
      <c r="H7" s="892" t="s">
        <v>125</v>
      </c>
      <c r="I7" s="893" t="s">
        <v>126</v>
      </c>
      <c r="J7" s="894" t="s">
        <v>331</v>
      </c>
      <c r="K7" s="889" t="s">
        <v>85</v>
      </c>
      <c r="L7" s="1295"/>
      <c r="M7" s="1297"/>
      <c r="N7" s="62"/>
      <c r="O7" s="62"/>
      <c r="P7" s="62"/>
      <c r="Q7" s="62"/>
      <c r="R7" s="62"/>
      <c r="S7" s="62"/>
      <c r="T7" s="62"/>
      <c r="U7" s="62"/>
      <c r="V7" s="62"/>
    </row>
    <row r="8" spans="1:22" ht="20.100000000000001" customHeight="1" thickBot="1" x14ac:dyDescent="0.3">
      <c r="A8" s="9"/>
      <c r="B8" s="128" t="s">
        <v>104</v>
      </c>
      <c r="C8" s="129"/>
      <c r="D8" s="130"/>
      <c r="E8" s="129"/>
      <c r="F8" s="13"/>
      <c r="G8" s="13"/>
      <c r="H8" s="14"/>
      <c r="I8" s="14"/>
      <c r="J8" s="14"/>
      <c r="K8" s="15"/>
      <c r="L8" s="16"/>
      <c r="M8" s="16"/>
      <c r="N8" s="9"/>
      <c r="O8" s="9"/>
      <c r="P8" s="9"/>
      <c r="Q8" s="9"/>
      <c r="R8" s="9"/>
      <c r="S8" s="9"/>
      <c r="T8" s="9"/>
      <c r="U8" s="9"/>
      <c r="V8" s="9"/>
    </row>
    <row r="9" spans="1:22" s="9" customFormat="1" ht="20.100000000000001" customHeight="1" thickBot="1" x14ac:dyDescent="0.3">
      <c r="A9" s="380">
        <v>3636</v>
      </c>
      <c r="B9" s="383" t="s">
        <v>120</v>
      </c>
      <c r="C9" s="381">
        <v>2020</v>
      </c>
      <c r="D9" s="382">
        <v>2948.97</v>
      </c>
      <c r="E9" s="381">
        <v>2161</v>
      </c>
      <c r="F9" s="376">
        <v>6119.86</v>
      </c>
      <c r="G9" s="377">
        <v>697.09</v>
      </c>
      <c r="H9" s="908">
        <v>1422</v>
      </c>
      <c r="I9" s="909">
        <v>0</v>
      </c>
      <c r="J9" s="910">
        <v>0</v>
      </c>
      <c r="K9" s="904">
        <f>SUM(H9:J9)</f>
        <v>1422</v>
      </c>
      <c r="L9" s="378">
        <f>K9/E9*100</f>
        <v>65.802869042110132</v>
      </c>
      <c r="M9" s="379">
        <f>K9/F9*100</f>
        <v>23.23582565614246</v>
      </c>
      <c r="N9" s="384"/>
      <c r="O9" s="384"/>
      <c r="P9" s="384"/>
      <c r="Q9" s="384"/>
      <c r="R9" s="384"/>
      <c r="S9" s="384"/>
      <c r="T9" s="384"/>
      <c r="U9" s="384"/>
      <c r="V9" s="384"/>
    </row>
    <row r="10" spans="1:22" ht="20.100000000000001" customHeight="1" thickBot="1" x14ac:dyDescent="0.3">
      <c r="A10" s="192"/>
      <c r="B10" s="203" t="s">
        <v>85</v>
      </c>
      <c r="C10" s="189">
        <f>SUM(C9)</f>
        <v>2020</v>
      </c>
      <c r="D10" s="204">
        <f>SUM(D9)</f>
        <v>2948.97</v>
      </c>
      <c r="E10" s="189">
        <f t="shared" ref="E10:K10" si="0">SUM(E9:E9)</f>
        <v>2161</v>
      </c>
      <c r="F10" s="205">
        <f t="shared" si="0"/>
        <v>6119.86</v>
      </c>
      <c r="G10" s="205">
        <f t="shared" si="0"/>
        <v>697.09</v>
      </c>
      <c r="H10" s="189">
        <f t="shared" si="0"/>
        <v>1422</v>
      </c>
      <c r="I10" s="911">
        <f t="shared" si="0"/>
        <v>0</v>
      </c>
      <c r="J10" s="912">
        <f t="shared" si="0"/>
        <v>0</v>
      </c>
      <c r="K10" s="913">
        <f t="shared" si="0"/>
        <v>1422</v>
      </c>
      <c r="L10" s="186">
        <f>K10/E10*100</f>
        <v>65.802869042110132</v>
      </c>
      <c r="M10" s="187">
        <f>K10/F10*100</f>
        <v>23.23582565614246</v>
      </c>
      <c r="N10" s="18"/>
      <c r="O10" s="19"/>
      <c r="P10" s="19"/>
      <c r="Q10" s="19"/>
      <c r="R10" s="19"/>
      <c r="S10" s="19"/>
      <c r="T10" s="19"/>
      <c r="U10" s="19"/>
      <c r="V10" s="19"/>
    </row>
    <row r="12" spans="1:22" x14ac:dyDescent="0.2">
      <c r="C12" s="3"/>
      <c r="E12" s="3"/>
      <c r="H12" s="3"/>
      <c r="I12" s="3"/>
      <c r="J12" s="3"/>
      <c r="K12" s="3"/>
    </row>
  </sheetData>
  <mergeCells count="8">
    <mergeCell ref="A2:M2"/>
    <mergeCell ref="A6:A7"/>
    <mergeCell ref="B6:B7"/>
    <mergeCell ref="C6:D6"/>
    <mergeCell ref="E6:G6"/>
    <mergeCell ref="H6:K6"/>
    <mergeCell ref="L6:L7"/>
    <mergeCell ref="M6:M7"/>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454A6-DA91-4223-B564-A51C5516E12C}">
  <sheetPr>
    <pageSetUpPr fitToPage="1"/>
  </sheetPr>
  <dimension ref="A1:V13"/>
  <sheetViews>
    <sheetView workbookViewId="0"/>
  </sheetViews>
  <sheetFormatPr defaultColWidth="9.140625" defaultRowHeight="12.75" x14ac:dyDescent="0.2"/>
  <cols>
    <col min="1" max="1" width="7.7109375" style="1" customWidth="1"/>
    <col min="2" max="2" width="46.7109375" style="1" customWidth="1"/>
    <col min="3" max="3" width="14.7109375" style="2" customWidth="1"/>
    <col min="4" max="4" width="14.7109375" style="3" customWidth="1"/>
    <col min="5" max="5" width="14.7109375" style="2" customWidth="1"/>
    <col min="6" max="7" width="14.7109375" style="3" customWidth="1"/>
    <col min="8" max="8" width="14.7109375" style="2" customWidth="1"/>
    <col min="9" max="9" width="16" style="2" customWidth="1"/>
    <col min="10" max="10" width="14.7109375" style="2" customWidth="1"/>
    <col min="11" max="11" width="14.7109375" style="4" customWidth="1"/>
    <col min="12" max="13" width="9.7109375" style="5" customWidth="1"/>
    <col min="14" max="16384" width="9.140625" style="1"/>
  </cols>
  <sheetData>
    <row r="1" spans="1:22" ht="15" x14ac:dyDescent="0.25">
      <c r="A1" s="29"/>
      <c r="B1" s="29"/>
      <c r="C1" s="29"/>
      <c r="D1" s="29"/>
      <c r="E1" s="29"/>
      <c r="F1" s="29"/>
      <c r="G1" s="29"/>
      <c r="H1" s="29"/>
      <c r="I1" s="29"/>
      <c r="J1" s="29"/>
      <c r="K1" s="29"/>
      <c r="L1" s="29"/>
      <c r="M1" s="6"/>
      <c r="N1" s="29"/>
      <c r="O1" s="29"/>
      <c r="P1" s="29"/>
      <c r="Q1" s="29"/>
      <c r="R1" s="29"/>
      <c r="S1" s="29"/>
      <c r="T1" s="29"/>
      <c r="U1" s="29"/>
      <c r="V1" s="29"/>
    </row>
    <row r="2" spans="1:22" ht="20.100000000000001" customHeight="1" x14ac:dyDescent="0.35">
      <c r="A2" s="1284" t="s">
        <v>570</v>
      </c>
      <c r="B2" s="1284"/>
      <c r="C2" s="1284"/>
      <c r="D2" s="1284"/>
      <c r="E2" s="1284"/>
      <c r="F2" s="1284"/>
      <c r="G2" s="1284"/>
      <c r="H2" s="1284"/>
      <c r="I2" s="1284"/>
      <c r="J2" s="1284"/>
      <c r="K2" s="1284"/>
      <c r="L2" s="1284"/>
      <c r="M2" s="1284"/>
      <c r="N2" s="29"/>
      <c r="O2" s="29"/>
      <c r="P2" s="29"/>
      <c r="Q2" s="29"/>
      <c r="R2" s="29"/>
      <c r="S2" s="29"/>
      <c r="T2" s="29"/>
      <c r="U2" s="29"/>
      <c r="V2" s="29"/>
    </row>
    <row r="3" spans="1:22" ht="15" customHeight="1" x14ac:dyDescent="0.2"/>
    <row r="4" spans="1:22" ht="20.100000000000001" customHeight="1" x14ac:dyDescent="0.3">
      <c r="A4" s="7" t="s">
        <v>469</v>
      </c>
      <c r="B4" s="29"/>
      <c r="C4" s="29"/>
      <c r="D4" s="29"/>
      <c r="E4" s="29"/>
      <c r="F4" s="29"/>
      <c r="G4" s="29"/>
      <c r="H4" s="29"/>
      <c r="I4" s="29"/>
      <c r="J4" s="29"/>
      <c r="K4" s="29"/>
      <c r="L4" s="127"/>
      <c r="M4" s="29"/>
      <c r="N4" s="29"/>
      <c r="O4" s="29"/>
      <c r="P4" s="29"/>
      <c r="Q4" s="29"/>
      <c r="R4" s="29"/>
      <c r="S4" s="29"/>
      <c r="T4" s="29"/>
      <c r="U4" s="29"/>
      <c r="V4" s="29"/>
    </row>
    <row r="5" spans="1:22" ht="15" customHeight="1" thickBot="1" x14ac:dyDescent="0.35">
      <c r="A5" s="7"/>
      <c r="B5" s="29"/>
      <c r="C5" s="29"/>
      <c r="D5" s="29"/>
      <c r="E5" s="29"/>
      <c r="F5" s="29"/>
      <c r="G5" s="29"/>
      <c r="H5" s="29"/>
      <c r="I5" s="29"/>
      <c r="J5" s="29"/>
      <c r="K5" s="29"/>
      <c r="L5" s="29"/>
      <c r="M5" s="127" t="s">
        <v>0</v>
      </c>
      <c r="N5" s="29"/>
      <c r="O5" s="29"/>
      <c r="P5" s="29"/>
      <c r="Q5" s="29"/>
      <c r="R5" s="29"/>
      <c r="S5" s="29"/>
      <c r="T5" s="29"/>
      <c r="U5" s="29"/>
      <c r="V5" s="29"/>
    </row>
    <row r="6" spans="1:22" ht="15.75" customHeight="1" x14ac:dyDescent="0.2">
      <c r="A6" s="1286" t="s">
        <v>88</v>
      </c>
      <c r="B6" s="1299" t="s">
        <v>103</v>
      </c>
      <c r="C6" s="1288" t="s">
        <v>283</v>
      </c>
      <c r="D6" s="1289"/>
      <c r="E6" s="1288" t="s">
        <v>390</v>
      </c>
      <c r="F6" s="1290"/>
      <c r="G6" s="1289"/>
      <c r="H6" s="1291" t="s">
        <v>484</v>
      </c>
      <c r="I6" s="1292"/>
      <c r="J6" s="1292"/>
      <c r="K6" s="1293"/>
      <c r="L6" s="1294" t="s">
        <v>485</v>
      </c>
      <c r="M6" s="1296" t="s">
        <v>489</v>
      </c>
      <c r="N6" s="62"/>
      <c r="O6" s="62"/>
      <c r="P6" s="62"/>
      <c r="Q6" s="62"/>
      <c r="R6" s="62"/>
      <c r="S6" s="62"/>
      <c r="T6" s="62"/>
      <c r="U6" s="62"/>
      <c r="V6" s="62"/>
    </row>
    <row r="7" spans="1:22" ht="27" customHeight="1" thickBot="1" x14ac:dyDescent="0.25">
      <c r="A7" s="1287"/>
      <c r="B7" s="1301"/>
      <c r="C7" s="179" t="s">
        <v>108</v>
      </c>
      <c r="D7" s="180" t="s">
        <v>127</v>
      </c>
      <c r="E7" s="267" t="s">
        <v>109</v>
      </c>
      <c r="F7" s="268" t="s">
        <v>586</v>
      </c>
      <c r="G7" s="269" t="s">
        <v>587</v>
      </c>
      <c r="H7" s="892" t="s">
        <v>125</v>
      </c>
      <c r="I7" s="893" t="s">
        <v>126</v>
      </c>
      <c r="J7" s="894" t="s">
        <v>331</v>
      </c>
      <c r="K7" s="889" t="s">
        <v>85</v>
      </c>
      <c r="L7" s="1295"/>
      <c r="M7" s="1297"/>
      <c r="N7" s="62"/>
      <c r="O7" s="62"/>
      <c r="P7" s="62"/>
      <c r="Q7" s="62"/>
      <c r="R7" s="62"/>
      <c r="S7" s="62"/>
      <c r="T7" s="62"/>
      <c r="U7" s="62"/>
      <c r="V7" s="62"/>
    </row>
    <row r="8" spans="1:22" ht="20.100000000000001" customHeight="1" thickBot="1" x14ac:dyDescent="0.3">
      <c r="A8" s="9"/>
      <c r="B8" s="128" t="s">
        <v>104</v>
      </c>
      <c r="C8" s="129"/>
      <c r="D8" s="130"/>
      <c r="E8" s="129"/>
      <c r="F8" s="13"/>
      <c r="G8" s="13"/>
      <c r="H8" s="14"/>
      <c r="I8" s="14"/>
      <c r="J8" s="14"/>
      <c r="K8" s="15"/>
      <c r="L8" s="16"/>
      <c r="M8" s="16"/>
      <c r="N8" s="9"/>
      <c r="O8" s="9"/>
      <c r="P8" s="9"/>
      <c r="Q8" s="9"/>
      <c r="R8" s="9"/>
      <c r="S8" s="9"/>
      <c r="T8" s="9"/>
      <c r="U8" s="9"/>
      <c r="V8" s="9"/>
    </row>
    <row r="9" spans="1:22" s="9" customFormat="1" ht="30.75" customHeight="1" x14ac:dyDescent="0.25">
      <c r="A9" s="380">
        <v>6115</v>
      </c>
      <c r="B9" s="923" t="s">
        <v>445</v>
      </c>
      <c r="C9" s="381">
        <v>0</v>
      </c>
      <c r="D9" s="382">
        <v>0</v>
      </c>
      <c r="E9" s="381">
        <v>50</v>
      </c>
      <c r="F9" s="924">
        <v>0</v>
      </c>
      <c r="G9" s="925">
        <v>0</v>
      </c>
      <c r="H9" s="908">
        <v>66</v>
      </c>
      <c r="I9" s="926">
        <v>20</v>
      </c>
      <c r="J9" s="910">
        <v>14</v>
      </c>
      <c r="K9" s="904">
        <f t="shared" ref="K9" si="0">SUM(H9:J9)</f>
        <v>100</v>
      </c>
      <c r="L9" s="378">
        <f>+K9/E9*100</f>
        <v>200</v>
      </c>
      <c r="M9" s="379" t="s">
        <v>60</v>
      </c>
      <c r="N9" s="384"/>
      <c r="O9" s="384"/>
      <c r="P9" s="384"/>
      <c r="Q9" s="384"/>
      <c r="R9" s="384"/>
      <c r="S9" s="384"/>
      <c r="T9" s="384"/>
      <c r="U9" s="384"/>
      <c r="V9" s="384"/>
    </row>
    <row r="10" spans="1:22" s="9" customFormat="1" ht="20.100000000000001" customHeight="1" thickBot="1" x14ac:dyDescent="0.3">
      <c r="A10" s="927">
        <v>6172</v>
      </c>
      <c r="B10" s="928" t="s">
        <v>105</v>
      </c>
      <c r="C10" s="929">
        <v>0</v>
      </c>
      <c r="D10" s="930">
        <v>0</v>
      </c>
      <c r="E10" s="929">
        <v>0</v>
      </c>
      <c r="F10" s="931">
        <v>21</v>
      </c>
      <c r="G10" s="932">
        <v>0</v>
      </c>
      <c r="H10" s="933">
        <v>0</v>
      </c>
      <c r="I10" s="934">
        <v>0</v>
      </c>
      <c r="J10" s="935">
        <v>0</v>
      </c>
      <c r="K10" s="914">
        <f t="shared" ref="K10" si="1">SUM(H10:J10)</f>
        <v>0</v>
      </c>
      <c r="L10" s="845" t="s">
        <v>60</v>
      </c>
      <c r="M10" s="846">
        <f t="shared" ref="M10" si="2">K10/F10*100</f>
        <v>0</v>
      </c>
      <c r="N10" s="384"/>
      <c r="O10" s="384"/>
      <c r="P10" s="384"/>
      <c r="Q10" s="384"/>
      <c r="R10" s="384"/>
      <c r="S10" s="384"/>
      <c r="T10" s="384"/>
      <c r="U10" s="384"/>
      <c r="V10" s="384"/>
    </row>
    <row r="11" spans="1:22" ht="20.100000000000001" customHeight="1" thickBot="1" x14ac:dyDescent="0.3">
      <c r="A11" s="192"/>
      <c r="B11" s="203" t="s">
        <v>85</v>
      </c>
      <c r="C11" s="189">
        <f t="shared" ref="C11:K11" si="3">SUM(C9:C10)</f>
        <v>0</v>
      </c>
      <c r="D11" s="204">
        <f t="shared" si="3"/>
        <v>0</v>
      </c>
      <c r="E11" s="189">
        <f t="shared" si="3"/>
        <v>50</v>
      </c>
      <c r="F11" s="205">
        <f t="shared" si="3"/>
        <v>21</v>
      </c>
      <c r="G11" s="205">
        <f t="shared" si="3"/>
        <v>0</v>
      </c>
      <c r="H11" s="189">
        <f t="shared" si="3"/>
        <v>66</v>
      </c>
      <c r="I11" s="911">
        <f t="shared" si="3"/>
        <v>20</v>
      </c>
      <c r="J11" s="912">
        <f t="shared" si="3"/>
        <v>14</v>
      </c>
      <c r="K11" s="913">
        <f t="shared" si="3"/>
        <v>100</v>
      </c>
      <c r="L11" s="186">
        <f>+K11/E11*100</f>
        <v>200</v>
      </c>
      <c r="M11" s="187">
        <f>K11/F11*100</f>
        <v>476.1904761904762</v>
      </c>
      <c r="N11" s="18"/>
      <c r="O11" s="19"/>
      <c r="P11" s="19"/>
      <c r="Q11" s="19"/>
      <c r="R11" s="19"/>
      <c r="S11" s="19"/>
      <c r="T11" s="19"/>
      <c r="U11" s="19"/>
      <c r="V11" s="19"/>
    </row>
    <row r="13" spans="1:22" x14ac:dyDescent="0.2">
      <c r="C13" s="3"/>
      <c r="E13" s="3"/>
      <c r="H13" s="3"/>
      <c r="I13" s="3"/>
      <c r="J13" s="3"/>
      <c r="K13" s="3"/>
    </row>
  </sheetData>
  <sortState xmlns:xlrd2="http://schemas.microsoft.com/office/spreadsheetml/2017/richdata2" ref="A9:D10">
    <sortCondition ref="A9:A10"/>
  </sortState>
  <mergeCells count="8">
    <mergeCell ref="A2:M2"/>
    <mergeCell ref="A6:A7"/>
    <mergeCell ref="B6:B7"/>
    <mergeCell ref="C6:D6"/>
    <mergeCell ref="E6:G6"/>
    <mergeCell ref="H6:K6"/>
    <mergeCell ref="L6:L7"/>
    <mergeCell ref="M6:M7"/>
  </mergeCells>
  <pageMargins left="0.70866141732283472" right="0.70866141732283472" top="0.78740157480314965" bottom="0.78740157480314965" header="0.31496062992125984" footer="0.31496062992125984"/>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117"/>
  <sheetViews>
    <sheetView zoomScaleNormal="100" workbookViewId="0"/>
  </sheetViews>
  <sheetFormatPr defaultRowHeight="12.75" x14ac:dyDescent="0.2"/>
  <cols>
    <col min="1" max="1" width="7.7109375" style="67" customWidth="1"/>
    <col min="2" max="2" width="6.7109375" style="1" customWidth="1"/>
    <col min="3" max="3" width="40.710937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3" width="10.28515625" style="5" customWidth="1"/>
    <col min="14" max="14" width="10" style="5" customWidth="1"/>
    <col min="15" max="15" width="10.28515625" style="1" customWidth="1"/>
    <col min="16" max="255" width="9.140625" style="1"/>
    <col min="256" max="256" width="6.7109375" style="1" customWidth="1"/>
    <col min="257" max="257" width="41.5703125" style="1" customWidth="1"/>
    <col min="258" max="265" width="14.7109375" style="1" customWidth="1"/>
    <col min="266" max="266" width="16.7109375" style="1" customWidth="1"/>
    <col min="267" max="268" width="7.42578125" style="1" customWidth="1"/>
    <col min="269" max="511" width="9.140625" style="1"/>
    <col min="512" max="512" width="6.7109375" style="1" customWidth="1"/>
    <col min="513" max="513" width="41.5703125" style="1" customWidth="1"/>
    <col min="514" max="521" width="14.7109375" style="1" customWidth="1"/>
    <col min="522" max="522" width="16.7109375" style="1" customWidth="1"/>
    <col min="523" max="524" width="7.42578125" style="1" customWidth="1"/>
    <col min="525" max="767" width="9.140625" style="1"/>
    <col min="768" max="768" width="6.7109375" style="1" customWidth="1"/>
    <col min="769" max="769" width="41.5703125" style="1" customWidth="1"/>
    <col min="770" max="777" width="14.7109375" style="1" customWidth="1"/>
    <col min="778" max="778" width="16.7109375" style="1" customWidth="1"/>
    <col min="779" max="780" width="7.42578125" style="1" customWidth="1"/>
    <col min="781" max="1023" width="9.140625" style="1"/>
    <col min="1024" max="1024" width="6.7109375" style="1" customWidth="1"/>
    <col min="1025" max="1025" width="41.5703125" style="1" customWidth="1"/>
    <col min="1026" max="1033" width="14.7109375" style="1" customWidth="1"/>
    <col min="1034" max="1034" width="16.7109375" style="1" customWidth="1"/>
    <col min="1035" max="1036" width="7.42578125" style="1" customWidth="1"/>
    <col min="1037" max="1279" width="9.140625" style="1"/>
    <col min="1280" max="1280" width="6.7109375" style="1" customWidth="1"/>
    <col min="1281" max="1281" width="41.5703125" style="1" customWidth="1"/>
    <col min="1282" max="1289" width="14.7109375" style="1" customWidth="1"/>
    <col min="1290" max="1290" width="16.7109375" style="1" customWidth="1"/>
    <col min="1291" max="1292" width="7.42578125" style="1" customWidth="1"/>
    <col min="1293" max="1535" width="9.140625" style="1"/>
    <col min="1536" max="1536" width="6.7109375" style="1" customWidth="1"/>
    <col min="1537" max="1537" width="41.5703125" style="1" customWidth="1"/>
    <col min="1538" max="1545" width="14.7109375" style="1" customWidth="1"/>
    <col min="1546" max="1546" width="16.7109375" style="1" customWidth="1"/>
    <col min="1547" max="1548" width="7.42578125" style="1" customWidth="1"/>
    <col min="1549" max="1791" width="9.140625" style="1"/>
    <col min="1792" max="1792" width="6.7109375" style="1" customWidth="1"/>
    <col min="1793" max="1793" width="41.5703125" style="1" customWidth="1"/>
    <col min="1794" max="1801" width="14.7109375" style="1" customWidth="1"/>
    <col min="1802" max="1802" width="16.7109375" style="1" customWidth="1"/>
    <col min="1803" max="1804" width="7.42578125" style="1" customWidth="1"/>
    <col min="1805" max="2047" width="9.140625" style="1"/>
    <col min="2048" max="2048" width="6.7109375" style="1" customWidth="1"/>
    <col min="2049" max="2049" width="41.5703125" style="1" customWidth="1"/>
    <col min="2050" max="2057" width="14.7109375" style="1" customWidth="1"/>
    <col min="2058" max="2058" width="16.7109375" style="1" customWidth="1"/>
    <col min="2059" max="2060" width="7.42578125" style="1" customWidth="1"/>
    <col min="2061" max="2303" width="9.140625" style="1"/>
    <col min="2304" max="2304" width="6.7109375" style="1" customWidth="1"/>
    <col min="2305" max="2305" width="41.5703125" style="1" customWidth="1"/>
    <col min="2306" max="2313" width="14.7109375" style="1" customWidth="1"/>
    <col min="2314" max="2314" width="16.7109375" style="1" customWidth="1"/>
    <col min="2315" max="2316" width="7.42578125" style="1" customWidth="1"/>
    <col min="2317" max="2559" width="9.140625" style="1"/>
    <col min="2560" max="2560" width="6.7109375" style="1" customWidth="1"/>
    <col min="2561" max="2561" width="41.5703125" style="1" customWidth="1"/>
    <col min="2562" max="2569" width="14.7109375" style="1" customWidth="1"/>
    <col min="2570" max="2570" width="16.7109375" style="1" customWidth="1"/>
    <col min="2571" max="2572" width="7.42578125" style="1" customWidth="1"/>
    <col min="2573" max="2815" width="9.140625" style="1"/>
    <col min="2816" max="2816" width="6.7109375" style="1" customWidth="1"/>
    <col min="2817" max="2817" width="41.5703125" style="1" customWidth="1"/>
    <col min="2818" max="2825" width="14.7109375" style="1" customWidth="1"/>
    <col min="2826" max="2826" width="16.7109375" style="1" customWidth="1"/>
    <col min="2827" max="2828" width="7.42578125" style="1" customWidth="1"/>
    <col min="2829" max="3071" width="9.140625" style="1"/>
    <col min="3072" max="3072" width="6.7109375" style="1" customWidth="1"/>
    <col min="3073" max="3073" width="41.5703125" style="1" customWidth="1"/>
    <col min="3074" max="3081" width="14.7109375" style="1" customWidth="1"/>
    <col min="3082" max="3082" width="16.7109375" style="1" customWidth="1"/>
    <col min="3083" max="3084" width="7.42578125" style="1" customWidth="1"/>
    <col min="3085" max="3327" width="9.140625" style="1"/>
    <col min="3328" max="3328" width="6.7109375" style="1" customWidth="1"/>
    <col min="3329" max="3329" width="41.5703125" style="1" customWidth="1"/>
    <col min="3330" max="3337" width="14.7109375" style="1" customWidth="1"/>
    <col min="3338" max="3338" width="16.7109375" style="1" customWidth="1"/>
    <col min="3339" max="3340" width="7.42578125" style="1" customWidth="1"/>
    <col min="3341" max="3583" width="9.140625" style="1"/>
    <col min="3584" max="3584" width="6.7109375" style="1" customWidth="1"/>
    <col min="3585" max="3585" width="41.5703125" style="1" customWidth="1"/>
    <col min="3586" max="3593" width="14.7109375" style="1" customWidth="1"/>
    <col min="3594" max="3594" width="16.7109375" style="1" customWidth="1"/>
    <col min="3595" max="3596" width="7.42578125" style="1" customWidth="1"/>
    <col min="3597" max="3839" width="9.140625" style="1"/>
    <col min="3840" max="3840" width="6.7109375" style="1" customWidth="1"/>
    <col min="3841" max="3841" width="41.5703125" style="1" customWidth="1"/>
    <col min="3842" max="3849" width="14.7109375" style="1" customWidth="1"/>
    <col min="3850" max="3850" width="16.7109375" style="1" customWidth="1"/>
    <col min="3851" max="3852" width="7.42578125" style="1" customWidth="1"/>
    <col min="3853" max="4095" width="9.140625" style="1"/>
    <col min="4096" max="4096" width="6.7109375" style="1" customWidth="1"/>
    <col min="4097" max="4097" width="41.5703125" style="1" customWidth="1"/>
    <col min="4098" max="4105" width="14.7109375" style="1" customWidth="1"/>
    <col min="4106" max="4106" width="16.7109375" style="1" customWidth="1"/>
    <col min="4107" max="4108" width="7.42578125" style="1" customWidth="1"/>
    <col min="4109" max="4351" width="9.140625" style="1"/>
    <col min="4352" max="4352" width="6.7109375" style="1" customWidth="1"/>
    <col min="4353" max="4353" width="41.5703125" style="1" customWidth="1"/>
    <col min="4354" max="4361" width="14.7109375" style="1" customWidth="1"/>
    <col min="4362" max="4362" width="16.7109375" style="1" customWidth="1"/>
    <col min="4363" max="4364" width="7.42578125" style="1" customWidth="1"/>
    <col min="4365" max="4607" width="9.140625" style="1"/>
    <col min="4608" max="4608" width="6.7109375" style="1" customWidth="1"/>
    <col min="4609" max="4609" width="41.5703125" style="1" customWidth="1"/>
    <col min="4610" max="4617" width="14.7109375" style="1" customWidth="1"/>
    <col min="4618" max="4618" width="16.7109375" style="1" customWidth="1"/>
    <col min="4619" max="4620" width="7.42578125" style="1" customWidth="1"/>
    <col min="4621" max="4863" width="9.140625" style="1"/>
    <col min="4864" max="4864" width="6.7109375" style="1" customWidth="1"/>
    <col min="4865" max="4865" width="41.5703125" style="1" customWidth="1"/>
    <col min="4866" max="4873" width="14.7109375" style="1" customWidth="1"/>
    <col min="4874" max="4874" width="16.7109375" style="1" customWidth="1"/>
    <col min="4875" max="4876" width="7.42578125" style="1" customWidth="1"/>
    <col min="4877" max="5119" width="9.140625" style="1"/>
    <col min="5120" max="5120" width="6.7109375" style="1" customWidth="1"/>
    <col min="5121" max="5121" width="41.5703125" style="1" customWidth="1"/>
    <col min="5122" max="5129" width="14.7109375" style="1" customWidth="1"/>
    <col min="5130" max="5130" width="16.7109375" style="1" customWidth="1"/>
    <col min="5131" max="5132" width="7.42578125" style="1" customWidth="1"/>
    <col min="5133" max="5375" width="9.140625" style="1"/>
    <col min="5376" max="5376" width="6.7109375" style="1" customWidth="1"/>
    <col min="5377" max="5377" width="41.5703125" style="1" customWidth="1"/>
    <col min="5378" max="5385" width="14.7109375" style="1" customWidth="1"/>
    <col min="5386" max="5386" width="16.7109375" style="1" customWidth="1"/>
    <col min="5387" max="5388" width="7.42578125" style="1" customWidth="1"/>
    <col min="5389" max="5631" width="9.140625" style="1"/>
    <col min="5632" max="5632" width="6.7109375" style="1" customWidth="1"/>
    <col min="5633" max="5633" width="41.5703125" style="1" customWidth="1"/>
    <col min="5634" max="5641" width="14.7109375" style="1" customWidth="1"/>
    <col min="5642" max="5642" width="16.7109375" style="1" customWidth="1"/>
    <col min="5643" max="5644" width="7.42578125" style="1" customWidth="1"/>
    <col min="5645" max="5887" width="9.140625" style="1"/>
    <col min="5888" max="5888" width="6.7109375" style="1" customWidth="1"/>
    <col min="5889" max="5889" width="41.5703125" style="1" customWidth="1"/>
    <col min="5890" max="5897" width="14.7109375" style="1" customWidth="1"/>
    <col min="5898" max="5898" width="16.7109375" style="1" customWidth="1"/>
    <col min="5899" max="5900" width="7.42578125" style="1" customWidth="1"/>
    <col min="5901" max="6143" width="9.140625" style="1"/>
    <col min="6144" max="6144" width="6.7109375" style="1" customWidth="1"/>
    <col min="6145" max="6145" width="41.5703125" style="1" customWidth="1"/>
    <col min="6146" max="6153" width="14.7109375" style="1" customWidth="1"/>
    <col min="6154" max="6154" width="16.7109375" style="1" customWidth="1"/>
    <col min="6155" max="6156" width="7.42578125" style="1" customWidth="1"/>
    <col min="6157" max="6399" width="9.140625" style="1"/>
    <col min="6400" max="6400" width="6.7109375" style="1" customWidth="1"/>
    <col min="6401" max="6401" width="41.5703125" style="1" customWidth="1"/>
    <col min="6402" max="6409" width="14.7109375" style="1" customWidth="1"/>
    <col min="6410" max="6410" width="16.7109375" style="1" customWidth="1"/>
    <col min="6411" max="6412" width="7.42578125" style="1" customWidth="1"/>
    <col min="6413" max="6655" width="9.140625" style="1"/>
    <col min="6656" max="6656" width="6.7109375" style="1" customWidth="1"/>
    <col min="6657" max="6657" width="41.5703125" style="1" customWidth="1"/>
    <col min="6658" max="6665" width="14.7109375" style="1" customWidth="1"/>
    <col min="6666" max="6666" width="16.7109375" style="1" customWidth="1"/>
    <col min="6667" max="6668" width="7.42578125" style="1" customWidth="1"/>
    <col min="6669" max="6911" width="9.140625" style="1"/>
    <col min="6912" max="6912" width="6.7109375" style="1" customWidth="1"/>
    <col min="6913" max="6913" width="41.5703125" style="1" customWidth="1"/>
    <col min="6914" max="6921" width="14.7109375" style="1" customWidth="1"/>
    <col min="6922" max="6922" width="16.7109375" style="1" customWidth="1"/>
    <col min="6923" max="6924" width="7.42578125" style="1" customWidth="1"/>
    <col min="6925" max="7167" width="9.140625" style="1"/>
    <col min="7168" max="7168" width="6.7109375" style="1" customWidth="1"/>
    <col min="7169" max="7169" width="41.5703125" style="1" customWidth="1"/>
    <col min="7170" max="7177" width="14.7109375" style="1" customWidth="1"/>
    <col min="7178" max="7178" width="16.7109375" style="1" customWidth="1"/>
    <col min="7179" max="7180" width="7.42578125" style="1" customWidth="1"/>
    <col min="7181" max="7423" width="9.140625" style="1"/>
    <col min="7424" max="7424" width="6.7109375" style="1" customWidth="1"/>
    <col min="7425" max="7425" width="41.5703125" style="1" customWidth="1"/>
    <col min="7426" max="7433" width="14.7109375" style="1" customWidth="1"/>
    <col min="7434" max="7434" width="16.7109375" style="1" customWidth="1"/>
    <col min="7435" max="7436" width="7.42578125" style="1" customWidth="1"/>
    <col min="7437" max="7679" width="9.140625" style="1"/>
    <col min="7680" max="7680" width="6.7109375" style="1" customWidth="1"/>
    <col min="7681" max="7681" width="41.5703125" style="1" customWidth="1"/>
    <col min="7682" max="7689" width="14.7109375" style="1" customWidth="1"/>
    <col min="7690" max="7690" width="16.7109375" style="1" customWidth="1"/>
    <col min="7691" max="7692" width="7.42578125" style="1" customWidth="1"/>
    <col min="7693" max="7935" width="9.140625" style="1"/>
    <col min="7936" max="7936" width="6.7109375" style="1" customWidth="1"/>
    <col min="7937" max="7937" width="41.5703125" style="1" customWidth="1"/>
    <col min="7938" max="7945" width="14.7109375" style="1" customWidth="1"/>
    <col min="7946" max="7946" width="16.7109375" style="1" customWidth="1"/>
    <col min="7947" max="7948" width="7.42578125" style="1" customWidth="1"/>
    <col min="7949" max="8191" width="9.140625" style="1"/>
    <col min="8192" max="8192" width="6.7109375" style="1" customWidth="1"/>
    <col min="8193" max="8193" width="41.5703125" style="1" customWidth="1"/>
    <col min="8194" max="8201" width="14.7109375" style="1" customWidth="1"/>
    <col min="8202" max="8202" width="16.7109375" style="1" customWidth="1"/>
    <col min="8203" max="8204" width="7.42578125" style="1" customWidth="1"/>
    <col min="8205" max="8447" width="9.140625" style="1"/>
    <col min="8448" max="8448" width="6.7109375" style="1" customWidth="1"/>
    <col min="8449" max="8449" width="41.5703125" style="1" customWidth="1"/>
    <col min="8450" max="8457" width="14.7109375" style="1" customWidth="1"/>
    <col min="8458" max="8458" width="16.7109375" style="1" customWidth="1"/>
    <col min="8459" max="8460" width="7.42578125" style="1" customWidth="1"/>
    <col min="8461" max="8703" width="9.140625" style="1"/>
    <col min="8704" max="8704" width="6.7109375" style="1" customWidth="1"/>
    <col min="8705" max="8705" width="41.5703125" style="1" customWidth="1"/>
    <col min="8706" max="8713" width="14.7109375" style="1" customWidth="1"/>
    <col min="8714" max="8714" width="16.7109375" style="1" customWidth="1"/>
    <col min="8715" max="8716" width="7.42578125" style="1" customWidth="1"/>
    <col min="8717" max="8959" width="9.140625" style="1"/>
    <col min="8960" max="8960" width="6.7109375" style="1" customWidth="1"/>
    <col min="8961" max="8961" width="41.5703125" style="1" customWidth="1"/>
    <col min="8962" max="8969" width="14.7109375" style="1" customWidth="1"/>
    <col min="8970" max="8970" width="16.7109375" style="1" customWidth="1"/>
    <col min="8971" max="8972" width="7.42578125" style="1" customWidth="1"/>
    <col min="8973" max="9215" width="9.140625" style="1"/>
    <col min="9216" max="9216" width="6.7109375" style="1" customWidth="1"/>
    <col min="9217" max="9217" width="41.5703125" style="1" customWidth="1"/>
    <col min="9218" max="9225" width="14.7109375" style="1" customWidth="1"/>
    <col min="9226" max="9226" width="16.7109375" style="1" customWidth="1"/>
    <col min="9227" max="9228" width="7.42578125" style="1" customWidth="1"/>
    <col min="9229" max="9471" width="9.140625" style="1"/>
    <col min="9472" max="9472" width="6.7109375" style="1" customWidth="1"/>
    <col min="9473" max="9473" width="41.5703125" style="1" customWidth="1"/>
    <col min="9474" max="9481" width="14.7109375" style="1" customWidth="1"/>
    <col min="9482" max="9482" width="16.7109375" style="1" customWidth="1"/>
    <col min="9483" max="9484" width="7.42578125" style="1" customWidth="1"/>
    <col min="9485" max="9727" width="9.140625" style="1"/>
    <col min="9728" max="9728" width="6.7109375" style="1" customWidth="1"/>
    <col min="9729" max="9729" width="41.5703125" style="1" customWidth="1"/>
    <col min="9730" max="9737" width="14.7109375" style="1" customWidth="1"/>
    <col min="9738" max="9738" width="16.7109375" style="1" customWidth="1"/>
    <col min="9739" max="9740" width="7.42578125" style="1" customWidth="1"/>
    <col min="9741" max="9983" width="9.140625" style="1"/>
    <col min="9984" max="9984" width="6.7109375" style="1" customWidth="1"/>
    <col min="9985" max="9985" width="41.5703125" style="1" customWidth="1"/>
    <col min="9986" max="9993" width="14.7109375" style="1" customWidth="1"/>
    <col min="9994" max="9994" width="16.7109375" style="1" customWidth="1"/>
    <col min="9995" max="9996" width="7.42578125" style="1" customWidth="1"/>
    <col min="9997" max="10239" width="9.140625" style="1"/>
    <col min="10240" max="10240" width="6.7109375" style="1" customWidth="1"/>
    <col min="10241" max="10241" width="41.5703125" style="1" customWidth="1"/>
    <col min="10242" max="10249" width="14.7109375" style="1" customWidth="1"/>
    <col min="10250" max="10250" width="16.7109375" style="1" customWidth="1"/>
    <col min="10251" max="10252" width="7.42578125" style="1" customWidth="1"/>
    <col min="10253" max="10495" width="9.140625" style="1"/>
    <col min="10496" max="10496" width="6.7109375" style="1" customWidth="1"/>
    <col min="10497" max="10497" width="41.5703125" style="1" customWidth="1"/>
    <col min="10498" max="10505" width="14.7109375" style="1" customWidth="1"/>
    <col min="10506" max="10506" width="16.7109375" style="1" customWidth="1"/>
    <col min="10507" max="10508" width="7.42578125" style="1" customWidth="1"/>
    <col min="10509" max="10751" width="9.140625" style="1"/>
    <col min="10752" max="10752" width="6.7109375" style="1" customWidth="1"/>
    <col min="10753" max="10753" width="41.5703125" style="1" customWidth="1"/>
    <col min="10754" max="10761" width="14.7109375" style="1" customWidth="1"/>
    <col min="10762" max="10762" width="16.7109375" style="1" customWidth="1"/>
    <col min="10763" max="10764" width="7.42578125" style="1" customWidth="1"/>
    <col min="10765" max="11007" width="9.140625" style="1"/>
    <col min="11008" max="11008" width="6.7109375" style="1" customWidth="1"/>
    <col min="11009" max="11009" width="41.5703125" style="1" customWidth="1"/>
    <col min="11010" max="11017" width="14.7109375" style="1" customWidth="1"/>
    <col min="11018" max="11018" width="16.7109375" style="1" customWidth="1"/>
    <col min="11019" max="11020" width="7.42578125" style="1" customWidth="1"/>
    <col min="11021" max="11263" width="9.140625" style="1"/>
    <col min="11264" max="11264" width="6.7109375" style="1" customWidth="1"/>
    <col min="11265" max="11265" width="41.5703125" style="1" customWidth="1"/>
    <col min="11266" max="11273" width="14.7109375" style="1" customWidth="1"/>
    <col min="11274" max="11274" width="16.7109375" style="1" customWidth="1"/>
    <col min="11275" max="11276" width="7.42578125" style="1" customWidth="1"/>
    <col min="11277" max="11519" width="9.140625" style="1"/>
    <col min="11520" max="11520" width="6.7109375" style="1" customWidth="1"/>
    <col min="11521" max="11521" width="41.5703125" style="1" customWidth="1"/>
    <col min="11522" max="11529" width="14.7109375" style="1" customWidth="1"/>
    <col min="11530" max="11530" width="16.7109375" style="1" customWidth="1"/>
    <col min="11531" max="11532" width="7.42578125" style="1" customWidth="1"/>
    <col min="11533" max="11775" width="9.140625" style="1"/>
    <col min="11776" max="11776" width="6.7109375" style="1" customWidth="1"/>
    <col min="11777" max="11777" width="41.5703125" style="1" customWidth="1"/>
    <col min="11778" max="11785" width="14.7109375" style="1" customWidth="1"/>
    <col min="11786" max="11786" width="16.7109375" style="1" customWidth="1"/>
    <col min="11787" max="11788" width="7.42578125" style="1" customWidth="1"/>
    <col min="11789" max="12031" width="9.140625" style="1"/>
    <col min="12032" max="12032" width="6.7109375" style="1" customWidth="1"/>
    <col min="12033" max="12033" width="41.5703125" style="1" customWidth="1"/>
    <col min="12034" max="12041" width="14.7109375" style="1" customWidth="1"/>
    <col min="12042" max="12042" width="16.7109375" style="1" customWidth="1"/>
    <col min="12043" max="12044" width="7.42578125" style="1" customWidth="1"/>
    <col min="12045" max="12287" width="9.140625" style="1"/>
    <col min="12288" max="12288" width="6.7109375" style="1" customWidth="1"/>
    <col min="12289" max="12289" width="41.5703125" style="1" customWidth="1"/>
    <col min="12290" max="12297" width="14.7109375" style="1" customWidth="1"/>
    <col min="12298" max="12298" width="16.7109375" style="1" customWidth="1"/>
    <col min="12299" max="12300" width="7.42578125" style="1" customWidth="1"/>
    <col min="12301" max="12543" width="9.140625" style="1"/>
    <col min="12544" max="12544" width="6.7109375" style="1" customWidth="1"/>
    <col min="12545" max="12545" width="41.5703125" style="1" customWidth="1"/>
    <col min="12546" max="12553" width="14.7109375" style="1" customWidth="1"/>
    <col min="12554" max="12554" width="16.7109375" style="1" customWidth="1"/>
    <col min="12555" max="12556" width="7.42578125" style="1" customWidth="1"/>
    <col min="12557" max="12799" width="9.140625" style="1"/>
    <col min="12800" max="12800" width="6.7109375" style="1" customWidth="1"/>
    <col min="12801" max="12801" width="41.5703125" style="1" customWidth="1"/>
    <col min="12802" max="12809" width="14.7109375" style="1" customWidth="1"/>
    <col min="12810" max="12810" width="16.7109375" style="1" customWidth="1"/>
    <col min="12811" max="12812" width="7.42578125" style="1" customWidth="1"/>
    <col min="12813" max="13055" width="9.140625" style="1"/>
    <col min="13056" max="13056" width="6.7109375" style="1" customWidth="1"/>
    <col min="13057" max="13057" width="41.5703125" style="1" customWidth="1"/>
    <col min="13058" max="13065" width="14.7109375" style="1" customWidth="1"/>
    <col min="13066" max="13066" width="16.7109375" style="1" customWidth="1"/>
    <col min="13067" max="13068" width="7.42578125" style="1" customWidth="1"/>
    <col min="13069" max="13311" width="9.140625" style="1"/>
    <col min="13312" max="13312" width="6.7109375" style="1" customWidth="1"/>
    <col min="13313" max="13313" width="41.5703125" style="1" customWidth="1"/>
    <col min="13314" max="13321" width="14.7109375" style="1" customWidth="1"/>
    <col min="13322" max="13322" width="16.7109375" style="1" customWidth="1"/>
    <col min="13323" max="13324" width="7.42578125" style="1" customWidth="1"/>
    <col min="13325" max="13567" width="9.140625" style="1"/>
    <col min="13568" max="13568" width="6.7109375" style="1" customWidth="1"/>
    <col min="13569" max="13569" width="41.5703125" style="1" customWidth="1"/>
    <col min="13570" max="13577" width="14.7109375" style="1" customWidth="1"/>
    <col min="13578" max="13578" width="16.7109375" style="1" customWidth="1"/>
    <col min="13579" max="13580" width="7.42578125" style="1" customWidth="1"/>
    <col min="13581" max="13823" width="9.140625" style="1"/>
    <col min="13824" max="13824" width="6.7109375" style="1" customWidth="1"/>
    <col min="13825" max="13825" width="41.5703125" style="1" customWidth="1"/>
    <col min="13826" max="13833" width="14.7109375" style="1" customWidth="1"/>
    <col min="13834" max="13834" width="16.7109375" style="1" customWidth="1"/>
    <col min="13835" max="13836" width="7.42578125" style="1" customWidth="1"/>
    <col min="13837" max="14079" width="9.140625" style="1"/>
    <col min="14080" max="14080" width="6.7109375" style="1" customWidth="1"/>
    <col min="14081" max="14081" width="41.5703125" style="1" customWidth="1"/>
    <col min="14082" max="14089" width="14.7109375" style="1" customWidth="1"/>
    <col min="14090" max="14090" width="16.7109375" style="1" customWidth="1"/>
    <col min="14091" max="14092" width="7.42578125" style="1" customWidth="1"/>
    <col min="14093" max="14335" width="9.140625" style="1"/>
    <col min="14336" max="14336" width="6.7109375" style="1" customWidth="1"/>
    <col min="14337" max="14337" width="41.5703125" style="1" customWidth="1"/>
    <col min="14338" max="14345" width="14.7109375" style="1" customWidth="1"/>
    <col min="14346" max="14346" width="16.7109375" style="1" customWidth="1"/>
    <col min="14347" max="14348" width="7.42578125" style="1" customWidth="1"/>
    <col min="14349" max="14591" width="9.140625" style="1"/>
    <col min="14592" max="14592" width="6.7109375" style="1" customWidth="1"/>
    <col min="14593" max="14593" width="41.5703125" style="1" customWidth="1"/>
    <col min="14594" max="14601" width="14.7109375" style="1" customWidth="1"/>
    <col min="14602" max="14602" width="16.7109375" style="1" customWidth="1"/>
    <col min="14603" max="14604" width="7.42578125" style="1" customWidth="1"/>
    <col min="14605" max="14847" width="9.140625" style="1"/>
    <col min="14848" max="14848" width="6.7109375" style="1" customWidth="1"/>
    <col min="14849" max="14849" width="41.5703125" style="1" customWidth="1"/>
    <col min="14850" max="14857" width="14.7109375" style="1" customWidth="1"/>
    <col min="14858" max="14858" width="16.7109375" style="1" customWidth="1"/>
    <col min="14859" max="14860" width="7.42578125" style="1" customWidth="1"/>
    <col min="14861" max="15103" width="9.140625" style="1"/>
    <col min="15104" max="15104" width="6.7109375" style="1" customWidth="1"/>
    <col min="15105" max="15105" width="41.5703125" style="1" customWidth="1"/>
    <col min="15106" max="15113" width="14.7109375" style="1" customWidth="1"/>
    <col min="15114" max="15114" width="16.7109375" style="1" customWidth="1"/>
    <col min="15115" max="15116" width="7.42578125" style="1" customWidth="1"/>
    <col min="15117" max="15359" width="9.140625" style="1"/>
    <col min="15360" max="15360" width="6.7109375" style="1" customWidth="1"/>
    <col min="15361" max="15361" width="41.5703125" style="1" customWidth="1"/>
    <col min="15362" max="15369" width="14.7109375" style="1" customWidth="1"/>
    <col min="15370" max="15370" width="16.7109375" style="1" customWidth="1"/>
    <col min="15371" max="15372" width="7.42578125" style="1" customWidth="1"/>
    <col min="15373" max="15615" width="9.140625" style="1"/>
    <col min="15616" max="15616" width="6.7109375" style="1" customWidth="1"/>
    <col min="15617" max="15617" width="41.5703125" style="1" customWidth="1"/>
    <col min="15618" max="15625" width="14.7109375" style="1" customWidth="1"/>
    <col min="15626" max="15626" width="16.7109375" style="1" customWidth="1"/>
    <col min="15627" max="15628" width="7.42578125" style="1" customWidth="1"/>
    <col min="15629" max="15871" width="9.140625" style="1"/>
    <col min="15872" max="15872" width="6.7109375" style="1" customWidth="1"/>
    <col min="15873" max="15873" width="41.5703125" style="1" customWidth="1"/>
    <col min="15874" max="15881" width="14.7109375" style="1" customWidth="1"/>
    <col min="15882" max="15882" width="16.7109375" style="1" customWidth="1"/>
    <col min="15883" max="15884" width="7.42578125" style="1" customWidth="1"/>
    <col min="15885" max="16127" width="9.140625" style="1"/>
    <col min="16128" max="16128" width="6.7109375" style="1" customWidth="1"/>
    <col min="16129" max="16129" width="41.5703125" style="1" customWidth="1"/>
    <col min="16130" max="16137" width="14.7109375" style="1" customWidth="1"/>
    <col min="16138" max="16138" width="16.7109375" style="1" customWidth="1"/>
    <col min="16139" max="16140" width="7.42578125" style="1" customWidth="1"/>
    <col min="16141" max="16384" width="9.140625" style="1"/>
  </cols>
  <sheetData>
    <row r="1" spans="1:14" ht="15" x14ac:dyDescent="0.25">
      <c r="N1" s="6"/>
    </row>
    <row r="2" spans="1:14" ht="20.100000000000001" customHeight="1" x14ac:dyDescent="0.35">
      <c r="A2" s="1284" t="s">
        <v>570</v>
      </c>
      <c r="B2" s="1206"/>
      <c r="C2" s="1206"/>
      <c r="D2" s="1206"/>
      <c r="E2" s="1206"/>
      <c r="F2" s="1206"/>
      <c r="G2" s="1206"/>
      <c r="H2" s="1206"/>
      <c r="I2" s="1206"/>
      <c r="J2" s="1206"/>
      <c r="K2" s="1206"/>
      <c r="L2" s="1206"/>
      <c r="M2" s="1206"/>
      <c r="N2" s="1285"/>
    </row>
    <row r="3" spans="1:14" ht="15" customHeight="1" x14ac:dyDescent="0.2"/>
    <row r="4" spans="1:14" ht="20.100000000000001" customHeight="1" x14ac:dyDescent="0.25">
      <c r="A4" s="68" t="s">
        <v>167</v>
      </c>
      <c r="M4" s="8"/>
    </row>
    <row r="5" spans="1:14" ht="15" customHeight="1" thickBot="1" x14ac:dyDescent="0.3">
      <c r="A5" s="68"/>
      <c r="N5" s="8" t="s">
        <v>0</v>
      </c>
    </row>
    <row r="6" spans="1:14"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4" s="62" customFormat="1" ht="27"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4" s="9" customFormat="1" ht="20.100000000000001" customHeight="1" thickBot="1" x14ac:dyDescent="0.3">
      <c r="A8" s="102"/>
      <c r="B8" s="10" t="s">
        <v>104</v>
      </c>
      <c r="C8" s="10"/>
      <c r="D8" s="11"/>
      <c r="E8" s="12"/>
      <c r="F8" s="11"/>
      <c r="G8" s="13"/>
      <c r="H8" s="13"/>
      <c r="I8" s="13"/>
      <c r="J8" s="13"/>
      <c r="K8" s="13"/>
      <c r="L8" s="271"/>
      <c r="M8" s="16"/>
      <c r="N8" s="16"/>
    </row>
    <row r="9" spans="1:14" s="527" customFormat="1" ht="30" customHeight="1" x14ac:dyDescent="0.2">
      <c r="A9" s="1415">
        <v>4312</v>
      </c>
      <c r="B9" s="1338" t="s">
        <v>168</v>
      </c>
      <c r="C9" s="1414"/>
      <c r="D9" s="1007">
        <f t="shared" ref="D9:E9" si="0">SUM(D10:D13)</f>
        <v>13900</v>
      </c>
      <c r="E9" s="1008">
        <f t="shared" si="0"/>
        <v>16595.47</v>
      </c>
      <c r="F9" s="1007">
        <f>SUM(F10:F13)</f>
        <v>15955</v>
      </c>
      <c r="G9" s="1009">
        <f t="shared" ref="G9:L9" si="1">SUM(G10:G13)</f>
        <v>17369.169999999998</v>
      </c>
      <c r="H9" s="1008">
        <f t="shared" si="1"/>
        <v>16486.07</v>
      </c>
      <c r="I9" s="1094">
        <f t="shared" si="1"/>
        <v>16193</v>
      </c>
      <c r="J9" s="1094">
        <f t="shared" si="1"/>
        <v>1905</v>
      </c>
      <c r="K9" s="1095">
        <f t="shared" si="1"/>
        <v>952</v>
      </c>
      <c r="L9" s="904">
        <f>SUM(I9:K9)</f>
        <v>19050</v>
      </c>
      <c r="M9" s="548">
        <f t="shared" ref="M9:M15" si="2">L9/F9*100</f>
        <v>119.39830774052021</v>
      </c>
      <c r="N9" s="549">
        <f t="shared" ref="N9:N15" si="3">L9/G9*100</f>
        <v>109.67708877280837</v>
      </c>
    </row>
    <row r="10" spans="1:14" ht="15" customHeight="1" x14ac:dyDescent="0.2">
      <c r="A10" s="1336"/>
      <c r="B10" s="1416" t="s">
        <v>96</v>
      </c>
      <c r="C10" s="682" t="s">
        <v>138</v>
      </c>
      <c r="D10" s="438">
        <v>4830</v>
      </c>
      <c r="E10" s="437">
        <v>4552.47</v>
      </c>
      <c r="F10" s="438">
        <v>3322</v>
      </c>
      <c r="G10" s="442">
        <v>4870</v>
      </c>
      <c r="H10" s="437">
        <v>4870</v>
      </c>
      <c r="I10" s="1096">
        <v>4675</v>
      </c>
      <c r="J10" s="1096">
        <v>550</v>
      </c>
      <c r="K10" s="1097">
        <v>275</v>
      </c>
      <c r="L10" s="1071">
        <f t="shared" ref="L10:L88" si="4">SUM(I10:K10)</f>
        <v>5500</v>
      </c>
      <c r="M10" s="439">
        <f t="shared" si="2"/>
        <v>165.56291390728478</v>
      </c>
      <c r="N10" s="440">
        <f t="shared" si="3"/>
        <v>112.93634496919918</v>
      </c>
    </row>
    <row r="11" spans="1:14" ht="15" customHeight="1" x14ac:dyDescent="0.2">
      <c r="A11" s="1336"/>
      <c r="B11" s="1417"/>
      <c r="C11" s="594" t="s">
        <v>401</v>
      </c>
      <c r="D11" s="438">
        <v>9000</v>
      </c>
      <c r="E11" s="437">
        <v>11940.29</v>
      </c>
      <c r="F11" s="438">
        <v>11510</v>
      </c>
      <c r="G11" s="442">
        <v>11431.17</v>
      </c>
      <c r="H11" s="437">
        <v>11431.17</v>
      </c>
      <c r="I11" s="1096">
        <v>10965</v>
      </c>
      <c r="J11" s="1096">
        <v>1290</v>
      </c>
      <c r="K11" s="1097">
        <v>645</v>
      </c>
      <c r="L11" s="1071">
        <f>SUM(I11:K11)</f>
        <v>12900</v>
      </c>
      <c r="M11" s="439">
        <f>L11/F11*100</f>
        <v>112.07645525629889</v>
      </c>
      <c r="N11" s="440">
        <f>L11/G11*100</f>
        <v>112.84934088111716</v>
      </c>
    </row>
    <row r="12" spans="1:14" ht="15" customHeight="1" x14ac:dyDescent="0.2">
      <c r="A12" s="1336"/>
      <c r="B12" s="1417"/>
      <c r="C12" s="682" t="s">
        <v>139</v>
      </c>
      <c r="D12" s="438">
        <v>70</v>
      </c>
      <c r="E12" s="437">
        <v>102.71</v>
      </c>
      <c r="F12" s="438">
        <v>100</v>
      </c>
      <c r="G12" s="442">
        <v>45</v>
      </c>
      <c r="H12" s="437">
        <v>45</v>
      </c>
      <c r="I12" s="1098">
        <v>43</v>
      </c>
      <c r="J12" s="1098">
        <v>5</v>
      </c>
      <c r="K12" s="1099">
        <v>2</v>
      </c>
      <c r="L12" s="1071">
        <f>SUM(I12:K12)</f>
        <v>50</v>
      </c>
      <c r="M12" s="439">
        <f>L12/F12*100</f>
        <v>50</v>
      </c>
      <c r="N12" s="440">
        <f>L12/G12*100</f>
        <v>111.11111111111111</v>
      </c>
    </row>
    <row r="13" spans="1:14" ht="15" customHeight="1" x14ac:dyDescent="0.2">
      <c r="A13" s="1336"/>
      <c r="B13" s="1417"/>
      <c r="C13" s="669" t="s">
        <v>453</v>
      </c>
      <c r="D13" s="83" t="s">
        <v>60</v>
      </c>
      <c r="E13" s="82" t="s">
        <v>60</v>
      </c>
      <c r="F13" s="83">
        <v>1023</v>
      </c>
      <c r="G13" s="431">
        <v>1023</v>
      </c>
      <c r="H13" s="95">
        <v>139.9</v>
      </c>
      <c r="I13" s="83">
        <v>510</v>
      </c>
      <c r="J13" s="906">
        <v>60</v>
      </c>
      <c r="K13" s="907">
        <v>30</v>
      </c>
      <c r="L13" s="1071">
        <f t="shared" ref="L13" si="5">SUM(I13:K13)</f>
        <v>600</v>
      </c>
      <c r="M13" s="439">
        <f>L13/F13*100</f>
        <v>58.651026392961882</v>
      </c>
      <c r="N13" s="440">
        <f>L13/G13*100</f>
        <v>58.651026392961882</v>
      </c>
    </row>
    <row r="14" spans="1:14" s="527" customFormat="1" ht="30" customHeight="1" x14ac:dyDescent="0.2">
      <c r="A14" s="513">
        <v>4339</v>
      </c>
      <c r="B14" s="1325" t="s">
        <v>169</v>
      </c>
      <c r="C14" s="1326"/>
      <c r="D14" s="550">
        <v>400</v>
      </c>
      <c r="E14" s="559">
        <v>234.75</v>
      </c>
      <c r="F14" s="550">
        <v>400</v>
      </c>
      <c r="G14" s="474">
        <v>400</v>
      </c>
      <c r="H14" s="475">
        <v>96.22</v>
      </c>
      <c r="I14" s="1100">
        <v>400</v>
      </c>
      <c r="J14" s="1100">
        <v>0</v>
      </c>
      <c r="K14" s="1101">
        <v>0</v>
      </c>
      <c r="L14" s="1065">
        <f t="shared" si="4"/>
        <v>400</v>
      </c>
      <c r="M14" s="554">
        <f t="shared" si="2"/>
        <v>100</v>
      </c>
      <c r="N14" s="555">
        <f t="shared" si="3"/>
        <v>100</v>
      </c>
    </row>
    <row r="15" spans="1:14" s="527" customFormat="1" ht="30" customHeight="1" x14ac:dyDescent="0.2">
      <c r="A15" s="556">
        <v>4342</v>
      </c>
      <c r="B15" s="1418" t="s">
        <v>447</v>
      </c>
      <c r="C15" s="1419"/>
      <c r="D15" s="557">
        <v>100</v>
      </c>
      <c r="E15" s="558">
        <v>39.24</v>
      </c>
      <c r="F15" s="557">
        <v>100</v>
      </c>
      <c r="G15" s="466">
        <v>100</v>
      </c>
      <c r="H15" s="467">
        <v>1.5</v>
      </c>
      <c r="I15" s="1102">
        <v>100</v>
      </c>
      <c r="J15" s="1102">
        <v>0</v>
      </c>
      <c r="K15" s="1103">
        <v>0</v>
      </c>
      <c r="L15" s="1076">
        <f t="shared" si="4"/>
        <v>100</v>
      </c>
      <c r="M15" s="554">
        <f t="shared" si="2"/>
        <v>100</v>
      </c>
      <c r="N15" s="555">
        <f t="shared" si="3"/>
        <v>100</v>
      </c>
    </row>
    <row r="16" spans="1:14" s="527" customFormat="1" ht="30" customHeight="1" x14ac:dyDescent="0.2">
      <c r="A16" s="1335">
        <v>4344</v>
      </c>
      <c r="B16" s="1325" t="s">
        <v>170</v>
      </c>
      <c r="C16" s="1326"/>
      <c r="D16" s="557">
        <f>SUM(D17:D20)</f>
        <v>100</v>
      </c>
      <c r="E16" s="558">
        <f>SUM(E17:E20)</f>
        <v>532.48</v>
      </c>
      <c r="F16" s="550">
        <f>SUM(F17:F20)</f>
        <v>214</v>
      </c>
      <c r="G16" s="560">
        <f t="shared" ref="G16:L16" si="6">SUM(G17:G20)</f>
        <v>144</v>
      </c>
      <c r="H16" s="559">
        <f t="shared" si="6"/>
        <v>130</v>
      </c>
      <c r="I16" s="1100">
        <f t="shared" si="6"/>
        <v>128</v>
      </c>
      <c r="J16" s="1100">
        <f t="shared" si="6"/>
        <v>15</v>
      </c>
      <c r="K16" s="1101">
        <f t="shared" si="6"/>
        <v>7</v>
      </c>
      <c r="L16" s="1065">
        <f>SUM(I16:K16)</f>
        <v>150</v>
      </c>
      <c r="M16" s="649">
        <f t="shared" ref="M16" si="7">L16/F16*100</f>
        <v>70.09345794392523</v>
      </c>
      <c r="N16" s="650">
        <f t="shared" ref="N16" si="8">L16/G16*100</f>
        <v>104.16666666666667</v>
      </c>
    </row>
    <row r="17" spans="1:14" ht="15" customHeight="1" x14ac:dyDescent="0.2">
      <c r="A17" s="1336"/>
      <c r="B17" s="1411" t="s">
        <v>96</v>
      </c>
      <c r="C17" s="682" t="s">
        <v>138</v>
      </c>
      <c r="D17" s="436">
        <v>0</v>
      </c>
      <c r="E17" s="651">
        <v>0</v>
      </c>
      <c r="F17" s="436">
        <v>0</v>
      </c>
      <c r="G17" s="435">
        <v>0</v>
      </c>
      <c r="H17" s="651">
        <v>0</v>
      </c>
      <c r="I17" s="1104">
        <v>0</v>
      </c>
      <c r="J17" s="1104">
        <v>0</v>
      </c>
      <c r="K17" s="1105">
        <v>0</v>
      </c>
      <c r="L17" s="1071">
        <f t="shared" si="4"/>
        <v>0</v>
      </c>
      <c r="M17" s="439" t="s">
        <v>60</v>
      </c>
      <c r="N17" s="440" t="s">
        <v>60</v>
      </c>
    </row>
    <row r="18" spans="1:14" ht="15" customHeight="1" x14ac:dyDescent="0.2">
      <c r="A18" s="1336"/>
      <c r="B18" s="1412"/>
      <c r="C18" s="594" t="s">
        <v>401</v>
      </c>
      <c r="D18" s="441">
        <v>100</v>
      </c>
      <c r="E18" s="437">
        <v>532.48</v>
      </c>
      <c r="F18" s="441">
        <v>200</v>
      </c>
      <c r="G18" s="442">
        <v>130</v>
      </c>
      <c r="H18" s="437">
        <v>130</v>
      </c>
      <c r="I18" s="1096">
        <v>119</v>
      </c>
      <c r="J18" s="1096">
        <v>14</v>
      </c>
      <c r="K18" s="1097">
        <v>7</v>
      </c>
      <c r="L18" s="1071">
        <f>SUM(I18:K18)</f>
        <v>140</v>
      </c>
      <c r="M18" s="439">
        <f>L18/F18*100</f>
        <v>70</v>
      </c>
      <c r="N18" s="440">
        <f>L18/G18*100</f>
        <v>107.69230769230769</v>
      </c>
    </row>
    <row r="19" spans="1:14" ht="15" customHeight="1" x14ac:dyDescent="0.2">
      <c r="A19" s="1336"/>
      <c r="B19" s="1412"/>
      <c r="C19" s="682" t="s">
        <v>139</v>
      </c>
      <c r="D19" s="441">
        <v>0</v>
      </c>
      <c r="E19" s="437">
        <v>0</v>
      </c>
      <c r="F19" s="441">
        <v>0</v>
      </c>
      <c r="G19" s="442">
        <v>0</v>
      </c>
      <c r="H19" s="437">
        <v>0</v>
      </c>
      <c r="I19" s="1096">
        <v>0</v>
      </c>
      <c r="J19" s="1096">
        <v>0</v>
      </c>
      <c r="K19" s="1097">
        <v>0</v>
      </c>
      <c r="L19" s="1071">
        <f>SUM(I19:K19)</f>
        <v>0</v>
      </c>
      <c r="M19" s="439" t="s">
        <v>60</v>
      </c>
      <c r="N19" s="440" t="s">
        <v>60</v>
      </c>
    </row>
    <row r="20" spans="1:14" ht="15" customHeight="1" x14ac:dyDescent="0.2">
      <c r="A20" s="1336"/>
      <c r="B20" s="1413"/>
      <c r="C20" s="669" t="s">
        <v>453</v>
      </c>
      <c r="D20" s="83" t="s">
        <v>60</v>
      </c>
      <c r="E20" s="82" t="s">
        <v>60</v>
      </c>
      <c r="F20" s="83">
        <v>14</v>
      </c>
      <c r="G20" s="431">
        <v>14</v>
      </c>
      <c r="H20" s="95">
        <v>0</v>
      </c>
      <c r="I20" s="83">
        <v>9</v>
      </c>
      <c r="J20" s="906">
        <v>1</v>
      </c>
      <c r="K20" s="907">
        <v>0</v>
      </c>
      <c r="L20" s="1071">
        <f t="shared" ref="L20" si="9">SUM(I20:K20)</f>
        <v>10</v>
      </c>
      <c r="M20" s="439">
        <f t="shared" ref="M20" si="10">L20/F20*100</f>
        <v>71.428571428571431</v>
      </c>
      <c r="N20" s="440">
        <f t="shared" ref="N20" si="11">L20/G20*100</f>
        <v>71.428571428571431</v>
      </c>
    </row>
    <row r="21" spans="1:14" s="527" customFormat="1" ht="30" customHeight="1" x14ac:dyDescent="0.2">
      <c r="A21" s="556">
        <v>4349</v>
      </c>
      <c r="B21" s="1418" t="s">
        <v>171</v>
      </c>
      <c r="C21" s="1419"/>
      <c r="D21" s="557">
        <v>300</v>
      </c>
      <c r="E21" s="558">
        <v>0</v>
      </c>
      <c r="F21" s="557">
        <v>300</v>
      </c>
      <c r="G21" s="466">
        <v>300</v>
      </c>
      <c r="H21" s="467">
        <v>0</v>
      </c>
      <c r="I21" s="1102">
        <v>300</v>
      </c>
      <c r="J21" s="1102">
        <v>0</v>
      </c>
      <c r="K21" s="1103">
        <v>0</v>
      </c>
      <c r="L21" s="1076">
        <f t="shared" si="4"/>
        <v>300</v>
      </c>
      <c r="M21" s="649">
        <f t="shared" ref="M21:M59" si="12">L21/F21*100</f>
        <v>100</v>
      </c>
      <c r="N21" s="650">
        <f t="shared" ref="N21:N59" si="13">L21/G21*100</f>
        <v>100</v>
      </c>
    </row>
    <row r="22" spans="1:14" s="527" customFormat="1" ht="32.25" customHeight="1" x14ac:dyDescent="0.2">
      <c r="A22" s="1335">
        <v>4350</v>
      </c>
      <c r="B22" s="1325" t="s">
        <v>172</v>
      </c>
      <c r="C22" s="1326"/>
      <c r="D22" s="557">
        <f>SUM(D23:D26)</f>
        <v>162440</v>
      </c>
      <c r="E22" s="558">
        <f t="shared" ref="E22:L22" si="14">SUM(E23:E26)</f>
        <v>218009.78</v>
      </c>
      <c r="F22" s="550">
        <f t="shared" si="14"/>
        <v>246579</v>
      </c>
      <c r="G22" s="560">
        <f t="shared" si="14"/>
        <v>243577.66999999998</v>
      </c>
      <c r="H22" s="559">
        <f t="shared" si="14"/>
        <v>169171.46</v>
      </c>
      <c r="I22" s="1100">
        <f t="shared" si="14"/>
        <v>193622</v>
      </c>
      <c r="J22" s="1100">
        <f t="shared" si="14"/>
        <v>22779</v>
      </c>
      <c r="K22" s="1101">
        <f t="shared" si="14"/>
        <v>11389</v>
      </c>
      <c r="L22" s="1065">
        <f>SUM(I22:K22)</f>
        <v>227790</v>
      </c>
      <c r="M22" s="649">
        <f t="shared" ref="M22:M23" si="15">L22/F22*100</f>
        <v>92.380129694742863</v>
      </c>
      <c r="N22" s="650">
        <f t="shared" ref="N22:N23" si="16">L22/G22*100</f>
        <v>93.51842473901651</v>
      </c>
    </row>
    <row r="23" spans="1:14" x14ac:dyDescent="0.2">
      <c r="A23" s="1336"/>
      <c r="B23" s="1411" t="s">
        <v>96</v>
      </c>
      <c r="C23" s="682" t="s">
        <v>138</v>
      </c>
      <c r="D23" s="441">
        <v>54740</v>
      </c>
      <c r="E23" s="437">
        <v>99997.67</v>
      </c>
      <c r="F23" s="441">
        <v>50004</v>
      </c>
      <c r="G23" s="442">
        <v>45419.11</v>
      </c>
      <c r="H23" s="437">
        <v>45419.11</v>
      </c>
      <c r="I23" s="1096">
        <v>43435</v>
      </c>
      <c r="J23" s="1096">
        <v>5110</v>
      </c>
      <c r="K23" s="1097">
        <v>2555</v>
      </c>
      <c r="L23" s="1071">
        <f t="shared" si="4"/>
        <v>51100</v>
      </c>
      <c r="M23" s="439">
        <f t="shared" si="15"/>
        <v>102.19182465402767</v>
      </c>
      <c r="N23" s="440">
        <f t="shared" si="16"/>
        <v>112.50770875959479</v>
      </c>
    </row>
    <row r="24" spans="1:14" x14ac:dyDescent="0.2">
      <c r="A24" s="1336"/>
      <c r="B24" s="1412"/>
      <c r="C24" s="594" t="s">
        <v>401</v>
      </c>
      <c r="D24" s="441">
        <v>96200</v>
      </c>
      <c r="E24" s="437">
        <v>109219.57</v>
      </c>
      <c r="F24" s="441">
        <v>100600</v>
      </c>
      <c r="G24" s="442">
        <v>101851.93</v>
      </c>
      <c r="H24" s="437">
        <v>101851.93</v>
      </c>
      <c r="I24" s="1096">
        <v>97495</v>
      </c>
      <c r="J24" s="1096">
        <v>11470</v>
      </c>
      <c r="K24" s="1097">
        <v>5735</v>
      </c>
      <c r="L24" s="1071">
        <f>SUM(I24:K24)</f>
        <v>114700</v>
      </c>
      <c r="M24" s="439">
        <f>L24/F24*100</f>
        <v>114.01590457256461</v>
      </c>
      <c r="N24" s="440">
        <f>L24/G24*100</f>
        <v>112.61445904854234</v>
      </c>
    </row>
    <row r="25" spans="1:14" x14ac:dyDescent="0.2">
      <c r="A25" s="1336"/>
      <c r="B25" s="1412"/>
      <c r="C25" s="682" t="s">
        <v>139</v>
      </c>
      <c r="D25" s="441">
        <v>11500</v>
      </c>
      <c r="E25" s="437">
        <v>8792.5400000000009</v>
      </c>
      <c r="F25" s="441">
        <v>10000</v>
      </c>
      <c r="G25" s="442">
        <v>10331.629999999999</v>
      </c>
      <c r="H25" s="437">
        <v>10331.629999999999</v>
      </c>
      <c r="I25" s="1096">
        <v>9945</v>
      </c>
      <c r="J25" s="1096">
        <v>1170</v>
      </c>
      <c r="K25" s="1097">
        <v>585</v>
      </c>
      <c r="L25" s="1071">
        <f>SUM(I25:K25)</f>
        <v>11700</v>
      </c>
      <c r="M25" s="439">
        <f>L25/F25*100</f>
        <v>117</v>
      </c>
      <c r="N25" s="440">
        <f>L25/G25*100</f>
        <v>113.24447352450679</v>
      </c>
    </row>
    <row r="26" spans="1:14" x14ac:dyDescent="0.2">
      <c r="A26" s="1336"/>
      <c r="B26" s="1412"/>
      <c r="C26" s="669" t="s">
        <v>453</v>
      </c>
      <c r="D26" s="83" t="s">
        <v>60</v>
      </c>
      <c r="E26" s="82" t="s">
        <v>60</v>
      </c>
      <c r="F26" s="83">
        <v>85975</v>
      </c>
      <c r="G26" s="431">
        <v>85975</v>
      </c>
      <c r="H26" s="95">
        <v>11568.79</v>
      </c>
      <c r="I26" s="83">
        <v>42747</v>
      </c>
      <c r="J26" s="906">
        <v>5029</v>
      </c>
      <c r="K26" s="907">
        <v>2514</v>
      </c>
      <c r="L26" s="1071">
        <f t="shared" ref="L26" si="17">SUM(I26:K26)</f>
        <v>50290</v>
      </c>
      <c r="M26" s="439">
        <f>L26/F26*100</f>
        <v>58.493748182611228</v>
      </c>
      <c r="N26" s="440">
        <f>L26/G26*100</f>
        <v>58.493748182611228</v>
      </c>
    </row>
    <row r="27" spans="1:14" s="527" customFormat="1" ht="46.5" customHeight="1" x14ac:dyDescent="0.2">
      <c r="A27" s="1335">
        <v>4351</v>
      </c>
      <c r="B27" s="1325" t="s">
        <v>173</v>
      </c>
      <c r="C27" s="1326"/>
      <c r="D27" s="557">
        <f>SUM(D28:D31)</f>
        <v>1930</v>
      </c>
      <c r="E27" s="558">
        <f t="shared" ref="E27:L27" si="18">SUM(E28:E31)</f>
        <v>2944.18</v>
      </c>
      <c r="F27" s="550">
        <f t="shared" si="18"/>
        <v>2458</v>
      </c>
      <c r="G27" s="560">
        <f t="shared" si="18"/>
        <v>2989.43</v>
      </c>
      <c r="H27" s="559">
        <f t="shared" si="18"/>
        <v>2555.4299999999998</v>
      </c>
      <c r="I27" s="1100">
        <f t="shared" si="18"/>
        <v>2648</v>
      </c>
      <c r="J27" s="1100">
        <f t="shared" si="18"/>
        <v>312</v>
      </c>
      <c r="K27" s="1101">
        <f t="shared" si="18"/>
        <v>155</v>
      </c>
      <c r="L27" s="1065">
        <f>SUM(I27:K27)</f>
        <v>3115</v>
      </c>
      <c r="M27" s="554">
        <f t="shared" si="12"/>
        <v>126.72904800650934</v>
      </c>
      <c r="N27" s="555">
        <f t="shared" si="13"/>
        <v>104.20046630963094</v>
      </c>
    </row>
    <row r="28" spans="1:14" x14ac:dyDescent="0.2">
      <c r="A28" s="1336"/>
      <c r="B28" s="1411" t="s">
        <v>96</v>
      </c>
      <c r="C28" s="682" t="s">
        <v>138</v>
      </c>
      <c r="D28" s="441">
        <v>300</v>
      </c>
      <c r="E28" s="437">
        <v>78.31</v>
      </c>
      <c r="F28" s="441">
        <v>174</v>
      </c>
      <c r="G28" s="442">
        <v>254.33</v>
      </c>
      <c r="H28" s="437">
        <v>254.33</v>
      </c>
      <c r="I28" s="1096">
        <v>238</v>
      </c>
      <c r="J28" s="1096">
        <v>28</v>
      </c>
      <c r="K28" s="1097">
        <v>14</v>
      </c>
      <c r="L28" s="1071">
        <f t="shared" si="4"/>
        <v>280</v>
      </c>
      <c r="M28" s="439">
        <f t="shared" si="12"/>
        <v>160.91954022988506</v>
      </c>
      <c r="N28" s="440">
        <f t="shared" si="13"/>
        <v>110.09318601816538</v>
      </c>
    </row>
    <row r="29" spans="1:14" x14ac:dyDescent="0.2">
      <c r="A29" s="1336"/>
      <c r="B29" s="1412"/>
      <c r="C29" s="594" t="s">
        <v>401</v>
      </c>
      <c r="D29" s="441">
        <v>1600</v>
      </c>
      <c r="E29" s="437">
        <v>2813.87</v>
      </c>
      <c r="F29" s="441">
        <v>1800</v>
      </c>
      <c r="G29" s="949">
        <v>2281.1</v>
      </c>
      <c r="H29" s="981">
        <v>2281.1</v>
      </c>
      <c r="I29" s="1098">
        <v>2176</v>
      </c>
      <c r="J29" s="1098">
        <v>256</v>
      </c>
      <c r="K29" s="1099">
        <v>128</v>
      </c>
      <c r="L29" s="1071">
        <f>SUM(I29:K29)</f>
        <v>2560</v>
      </c>
      <c r="M29" s="439">
        <f>L29/F29*100</f>
        <v>142.22222222222223</v>
      </c>
      <c r="N29" s="440">
        <f>L29/G29*100</f>
        <v>112.2265573626759</v>
      </c>
    </row>
    <row r="30" spans="1:14" x14ac:dyDescent="0.2">
      <c r="A30" s="1336"/>
      <c r="B30" s="1412"/>
      <c r="C30" s="682" t="s">
        <v>139</v>
      </c>
      <c r="D30" s="441">
        <v>30</v>
      </c>
      <c r="E30" s="437">
        <v>52</v>
      </c>
      <c r="F30" s="441">
        <v>50</v>
      </c>
      <c r="G30" s="442">
        <v>20</v>
      </c>
      <c r="H30" s="437">
        <v>20</v>
      </c>
      <c r="I30" s="1096">
        <v>17</v>
      </c>
      <c r="J30" s="1096">
        <v>2</v>
      </c>
      <c r="K30" s="1097">
        <v>1</v>
      </c>
      <c r="L30" s="1071">
        <f>SUM(I30:K30)</f>
        <v>20</v>
      </c>
      <c r="M30" s="439">
        <f>L30/F30*100</f>
        <v>40</v>
      </c>
      <c r="N30" s="440">
        <f>L30/G30*100</f>
        <v>100</v>
      </c>
    </row>
    <row r="31" spans="1:14" x14ac:dyDescent="0.2">
      <c r="A31" s="1336"/>
      <c r="B31" s="1412"/>
      <c r="C31" s="669" t="s">
        <v>453</v>
      </c>
      <c r="D31" s="83" t="s">
        <v>60</v>
      </c>
      <c r="E31" s="82" t="s">
        <v>60</v>
      </c>
      <c r="F31" s="83">
        <v>434</v>
      </c>
      <c r="G31" s="431">
        <v>434</v>
      </c>
      <c r="H31" s="95">
        <v>0</v>
      </c>
      <c r="I31" s="83">
        <v>217</v>
      </c>
      <c r="J31" s="906">
        <v>26</v>
      </c>
      <c r="K31" s="907">
        <v>12</v>
      </c>
      <c r="L31" s="1071">
        <f t="shared" ref="L31" si="19">SUM(I31:K31)</f>
        <v>255</v>
      </c>
      <c r="M31" s="439">
        <f>L31/F31*100</f>
        <v>58.755760368663587</v>
      </c>
      <c r="N31" s="440">
        <f>L31/G31*100</f>
        <v>58.755760368663587</v>
      </c>
    </row>
    <row r="32" spans="1:14" s="527" customFormat="1" ht="30.75" customHeight="1" x14ac:dyDescent="0.2">
      <c r="A32" s="1335">
        <v>4354</v>
      </c>
      <c r="B32" s="1325" t="s">
        <v>174</v>
      </c>
      <c r="C32" s="1326"/>
      <c r="D32" s="557">
        <f>SUM(D33:D36)</f>
        <v>14307</v>
      </c>
      <c r="E32" s="558">
        <f t="shared" ref="E32" si="20">SUM(E33:E36)</f>
        <v>16240.31</v>
      </c>
      <c r="F32" s="550">
        <f t="shared" ref="F32" si="21">SUM(F33:F36)</f>
        <v>18889</v>
      </c>
      <c r="G32" s="560">
        <f t="shared" ref="G32" si="22">SUM(G33:G36)</f>
        <v>20520.73</v>
      </c>
      <c r="H32" s="559">
        <f t="shared" ref="H32" si="23">SUM(H33:H36)</f>
        <v>16569.07</v>
      </c>
      <c r="I32" s="1100">
        <f t="shared" ref="I32" si="24">SUM(I33:I36)</f>
        <v>17485</v>
      </c>
      <c r="J32" s="1100">
        <f t="shared" ref="J32" si="25">SUM(J33:J36)</f>
        <v>2057</v>
      </c>
      <c r="K32" s="1101">
        <f t="shared" ref="K32" si="26">SUM(K33:K36)</f>
        <v>1028</v>
      </c>
      <c r="L32" s="1065">
        <f>SUM(I32:K32)</f>
        <v>20570</v>
      </c>
      <c r="M32" s="554">
        <f t="shared" si="12"/>
        <v>108.89935941553286</v>
      </c>
      <c r="N32" s="555">
        <f t="shared" si="13"/>
        <v>100.24009867095371</v>
      </c>
    </row>
    <row r="33" spans="1:14" x14ac:dyDescent="0.2">
      <c r="A33" s="1336"/>
      <c r="B33" s="1411" t="s">
        <v>96</v>
      </c>
      <c r="C33" s="682" t="s">
        <v>138</v>
      </c>
      <c r="D33" s="441">
        <v>2000</v>
      </c>
      <c r="E33" s="437">
        <v>3680.59</v>
      </c>
      <c r="F33" s="441">
        <v>2299</v>
      </c>
      <c r="G33" s="442">
        <v>2145.8000000000002</v>
      </c>
      <c r="H33" s="437">
        <v>2145.8000000000002</v>
      </c>
      <c r="I33" s="1098">
        <v>2040</v>
      </c>
      <c r="J33" s="1096">
        <v>240</v>
      </c>
      <c r="K33" s="1097">
        <v>120</v>
      </c>
      <c r="L33" s="1071">
        <f t="shared" si="4"/>
        <v>2400</v>
      </c>
      <c r="M33" s="439">
        <f t="shared" si="12"/>
        <v>104.39321444106133</v>
      </c>
      <c r="N33" s="440">
        <f t="shared" si="13"/>
        <v>111.84639761394351</v>
      </c>
    </row>
    <row r="34" spans="1:14" x14ac:dyDescent="0.2">
      <c r="A34" s="1336"/>
      <c r="B34" s="1412"/>
      <c r="C34" s="594" t="s">
        <v>401</v>
      </c>
      <c r="D34" s="441">
        <v>11052</v>
      </c>
      <c r="E34" s="437">
        <v>12037.14</v>
      </c>
      <c r="F34" s="441">
        <v>11000</v>
      </c>
      <c r="G34" s="442">
        <v>13264.93</v>
      </c>
      <c r="H34" s="437">
        <v>13264.93</v>
      </c>
      <c r="I34" s="1098">
        <v>12665</v>
      </c>
      <c r="J34" s="1096">
        <v>1490</v>
      </c>
      <c r="K34" s="1097">
        <v>745</v>
      </c>
      <c r="L34" s="1071">
        <f>SUM(I34:K34)</f>
        <v>14900</v>
      </c>
      <c r="M34" s="439">
        <f>L34/F34*100</f>
        <v>135.45454545454544</v>
      </c>
      <c r="N34" s="440">
        <f>L34/G34*100</f>
        <v>112.32626180462317</v>
      </c>
    </row>
    <row r="35" spans="1:14" x14ac:dyDescent="0.2">
      <c r="A35" s="1336"/>
      <c r="B35" s="1412"/>
      <c r="C35" s="682" t="s">
        <v>139</v>
      </c>
      <c r="D35" s="441">
        <v>1255</v>
      </c>
      <c r="E35" s="437">
        <v>522.58000000000004</v>
      </c>
      <c r="F35" s="441">
        <v>1000</v>
      </c>
      <c r="G35" s="442">
        <v>520</v>
      </c>
      <c r="H35" s="437">
        <v>520</v>
      </c>
      <c r="I35" s="1098">
        <v>493</v>
      </c>
      <c r="J35" s="1096">
        <v>58</v>
      </c>
      <c r="K35" s="1097">
        <v>29</v>
      </c>
      <c r="L35" s="1071">
        <f>SUM(I35:K35)</f>
        <v>580</v>
      </c>
      <c r="M35" s="439">
        <f>L35/F35*100</f>
        <v>57.999999999999993</v>
      </c>
      <c r="N35" s="440">
        <f>L35/G35*100</f>
        <v>111.53846153846155</v>
      </c>
    </row>
    <row r="36" spans="1:14" x14ac:dyDescent="0.2">
      <c r="A36" s="1336"/>
      <c r="B36" s="1412"/>
      <c r="C36" s="669" t="s">
        <v>453</v>
      </c>
      <c r="D36" s="83" t="s">
        <v>60</v>
      </c>
      <c r="E36" s="82" t="s">
        <v>60</v>
      </c>
      <c r="F36" s="83">
        <v>4590</v>
      </c>
      <c r="G36" s="431">
        <v>4590</v>
      </c>
      <c r="H36" s="95">
        <v>638.34</v>
      </c>
      <c r="I36" s="83">
        <v>2287</v>
      </c>
      <c r="J36" s="906">
        <v>269</v>
      </c>
      <c r="K36" s="907">
        <v>134</v>
      </c>
      <c r="L36" s="1071">
        <f t="shared" ref="L36" si="27">SUM(I36:K36)</f>
        <v>2690</v>
      </c>
      <c r="M36" s="439">
        <f>L36/F36*100</f>
        <v>58.605664488017425</v>
      </c>
      <c r="N36" s="440">
        <f>L36/G36*100</f>
        <v>58.605664488017425</v>
      </c>
    </row>
    <row r="37" spans="1:14" s="527" customFormat="1" ht="30.75" customHeight="1" x14ac:dyDescent="0.2">
      <c r="A37" s="1335">
        <v>4355</v>
      </c>
      <c r="B37" s="1325" t="s">
        <v>175</v>
      </c>
      <c r="C37" s="1326"/>
      <c r="D37" s="550">
        <f>SUM(D38:D41)</f>
        <v>5100</v>
      </c>
      <c r="E37" s="559">
        <f t="shared" ref="E37" si="28">SUM(E38:E41)</f>
        <v>6823.29</v>
      </c>
      <c r="F37" s="550">
        <f t="shared" ref="F37" si="29">SUM(F38:F41)</f>
        <v>7066</v>
      </c>
      <c r="G37" s="560">
        <f t="shared" ref="G37" si="30">SUM(G38:G41)</f>
        <v>4968.5</v>
      </c>
      <c r="H37" s="559">
        <f t="shared" ref="H37" si="31">SUM(H38:H41)</f>
        <v>2950.5</v>
      </c>
      <c r="I37" s="1100">
        <f t="shared" ref="I37" si="32">SUM(I38:I41)</f>
        <v>3834</v>
      </c>
      <c r="J37" s="1100">
        <f t="shared" ref="J37" si="33">SUM(J38:J41)</f>
        <v>451</v>
      </c>
      <c r="K37" s="1101">
        <f t="shared" ref="K37" si="34">SUM(K38:K41)</f>
        <v>225</v>
      </c>
      <c r="L37" s="1065">
        <f>SUM(I37:K37)</f>
        <v>4510</v>
      </c>
      <c r="M37" s="554">
        <f t="shared" si="12"/>
        <v>63.826776110953865</v>
      </c>
      <c r="N37" s="555">
        <f t="shared" si="13"/>
        <v>90.771862735231963</v>
      </c>
    </row>
    <row r="38" spans="1:14" x14ac:dyDescent="0.2">
      <c r="A38" s="1336"/>
      <c r="B38" s="1411" t="s">
        <v>96</v>
      </c>
      <c r="C38" s="682" t="s">
        <v>138</v>
      </c>
      <c r="D38" s="441">
        <v>1000</v>
      </c>
      <c r="E38" s="437">
        <v>2163.41</v>
      </c>
      <c r="F38" s="441">
        <v>1548</v>
      </c>
      <c r="G38" s="442">
        <v>1231</v>
      </c>
      <c r="H38" s="437">
        <v>1231</v>
      </c>
      <c r="I38" s="1098">
        <v>1190</v>
      </c>
      <c r="J38" s="1098">
        <v>140</v>
      </c>
      <c r="K38" s="1099">
        <v>70</v>
      </c>
      <c r="L38" s="1071">
        <f t="shared" si="4"/>
        <v>1400</v>
      </c>
      <c r="M38" s="439">
        <f t="shared" si="12"/>
        <v>90.439276485788113</v>
      </c>
      <c r="N38" s="440">
        <f t="shared" si="13"/>
        <v>113.72867587327376</v>
      </c>
    </row>
    <row r="39" spans="1:14" x14ac:dyDescent="0.2">
      <c r="A39" s="1336"/>
      <c r="B39" s="1412"/>
      <c r="C39" s="594" t="s">
        <v>401</v>
      </c>
      <c r="D39" s="441">
        <v>4000</v>
      </c>
      <c r="E39" s="437">
        <v>4659.88</v>
      </c>
      <c r="F39" s="441">
        <v>3450</v>
      </c>
      <c r="G39" s="442">
        <v>1719.5</v>
      </c>
      <c r="H39" s="437">
        <v>1719.5</v>
      </c>
      <c r="I39" s="1098">
        <v>1641</v>
      </c>
      <c r="J39" s="1098">
        <v>193</v>
      </c>
      <c r="K39" s="1099">
        <v>96</v>
      </c>
      <c r="L39" s="1071">
        <f>SUM(I39:K39)</f>
        <v>1930</v>
      </c>
      <c r="M39" s="439">
        <f>L39/F39*100</f>
        <v>55.942028985507243</v>
      </c>
      <c r="N39" s="440">
        <f>L39/G39*100</f>
        <v>112.24193079383542</v>
      </c>
    </row>
    <row r="40" spans="1:14" x14ac:dyDescent="0.2">
      <c r="A40" s="1336"/>
      <c r="B40" s="1412"/>
      <c r="C40" s="682" t="s">
        <v>139</v>
      </c>
      <c r="D40" s="441">
        <v>100</v>
      </c>
      <c r="E40" s="437">
        <v>0</v>
      </c>
      <c r="F40" s="441">
        <v>50</v>
      </c>
      <c r="G40" s="442">
        <v>0</v>
      </c>
      <c r="H40" s="437">
        <v>0</v>
      </c>
      <c r="I40" s="1098">
        <v>0</v>
      </c>
      <c r="J40" s="1098">
        <v>0</v>
      </c>
      <c r="K40" s="1099">
        <v>0</v>
      </c>
      <c r="L40" s="1071">
        <f>SUM(I40:K40)</f>
        <v>0</v>
      </c>
      <c r="M40" s="439">
        <f>L40/F40*100</f>
        <v>0</v>
      </c>
      <c r="N40" s="440" t="s">
        <v>60</v>
      </c>
    </row>
    <row r="41" spans="1:14" x14ac:dyDescent="0.2">
      <c r="A41" s="1337"/>
      <c r="B41" s="1413"/>
      <c r="C41" s="669" t="s">
        <v>453</v>
      </c>
      <c r="D41" s="83" t="s">
        <v>60</v>
      </c>
      <c r="E41" s="82" t="s">
        <v>60</v>
      </c>
      <c r="F41" s="83">
        <v>2018</v>
      </c>
      <c r="G41" s="431">
        <v>2018</v>
      </c>
      <c r="H41" s="95">
        <v>0</v>
      </c>
      <c r="I41" s="83">
        <v>1003</v>
      </c>
      <c r="J41" s="906">
        <v>118</v>
      </c>
      <c r="K41" s="907">
        <v>59</v>
      </c>
      <c r="L41" s="1071">
        <f t="shared" ref="L41" si="35">SUM(I41:K41)</f>
        <v>1180</v>
      </c>
      <c r="M41" s="439">
        <f>L41/F41*100</f>
        <v>58.473736372646179</v>
      </c>
      <c r="N41" s="440">
        <f>L41/G41*100</f>
        <v>58.473736372646179</v>
      </c>
    </row>
    <row r="42" spans="1:14" s="527" customFormat="1" ht="33.75" customHeight="1" x14ac:dyDescent="0.2">
      <c r="A42" s="1335">
        <v>4356</v>
      </c>
      <c r="B42" s="1325" t="s">
        <v>176</v>
      </c>
      <c r="C42" s="1326"/>
      <c r="D42" s="550">
        <f>SUM(D43:D46)</f>
        <v>3760</v>
      </c>
      <c r="E42" s="559">
        <f t="shared" ref="E42" si="36">SUM(E43:E46)</f>
        <v>5298.3899999999994</v>
      </c>
      <c r="F42" s="550">
        <f t="shared" ref="F42" si="37">SUM(F43:F46)</f>
        <v>5349</v>
      </c>
      <c r="G42" s="560">
        <f t="shared" ref="G42" si="38">SUM(G43:G46)</f>
        <v>6134</v>
      </c>
      <c r="H42" s="559">
        <f t="shared" ref="H42" si="39">SUM(H43:H46)</f>
        <v>4831.1000000000004</v>
      </c>
      <c r="I42" s="1100">
        <f t="shared" ref="I42" si="40">SUM(I43:I46)</f>
        <v>5151</v>
      </c>
      <c r="J42" s="1100">
        <f t="shared" ref="J42" si="41">SUM(J43:J46)</f>
        <v>606</v>
      </c>
      <c r="K42" s="1101">
        <f t="shared" ref="K42" si="42">SUM(K43:K46)</f>
        <v>303</v>
      </c>
      <c r="L42" s="1065">
        <f>SUM(I42:K42)</f>
        <v>6060</v>
      </c>
      <c r="M42" s="554">
        <f t="shared" si="12"/>
        <v>113.29220415030848</v>
      </c>
      <c r="N42" s="555">
        <f t="shared" si="13"/>
        <v>98.793609390283663</v>
      </c>
    </row>
    <row r="43" spans="1:14" x14ac:dyDescent="0.2">
      <c r="A43" s="1336"/>
      <c r="B43" s="1411" t="s">
        <v>96</v>
      </c>
      <c r="C43" s="682" t="s">
        <v>138</v>
      </c>
      <c r="D43" s="441">
        <v>360</v>
      </c>
      <c r="E43" s="437">
        <v>2609.02</v>
      </c>
      <c r="F43" s="441">
        <v>1165</v>
      </c>
      <c r="G43" s="442">
        <v>1057.67</v>
      </c>
      <c r="H43" s="437">
        <v>1057.67</v>
      </c>
      <c r="I43" s="1096">
        <v>1020</v>
      </c>
      <c r="J43" s="1096">
        <v>120</v>
      </c>
      <c r="K43" s="1097">
        <v>60</v>
      </c>
      <c r="L43" s="1071">
        <f t="shared" si="4"/>
        <v>1200</v>
      </c>
      <c r="M43" s="439">
        <f t="shared" si="12"/>
        <v>103.00429184549355</v>
      </c>
      <c r="N43" s="440">
        <f t="shared" si="13"/>
        <v>113.45693836451822</v>
      </c>
    </row>
    <row r="44" spans="1:14" x14ac:dyDescent="0.2">
      <c r="A44" s="1336"/>
      <c r="B44" s="1412"/>
      <c r="C44" s="594" t="s">
        <v>401</v>
      </c>
      <c r="D44" s="441">
        <v>3300</v>
      </c>
      <c r="E44" s="437">
        <v>2689.37</v>
      </c>
      <c r="F44" s="441">
        <v>2500</v>
      </c>
      <c r="G44" s="442">
        <v>3442.33</v>
      </c>
      <c r="H44" s="437">
        <v>3442.33</v>
      </c>
      <c r="I44" s="1096">
        <v>3315</v>
      </c>
      <c r="J44" s="1096">
        <v>390</v>
      </c>
      <c r="K44" s="1097">
        <v>195</v>
      </c>
      <c r="L44" s="1071">
        <f>SUM(I44:K44)</f>
        <v>3900</v>
      </c>
      <c r="M44" s="439">
        <f>L44/F44*100</f>
        <v>156</v>
      </c>
      <c r="N44" s="440">
        <f>L44/G44*100</f>
        <v>113.2953551809385</v>
      </c>
    </row>
    <row r="45" spans="1:14" x14ac:dyDescent="0.2">
      <c r="A45" s="1336"/>
      <c r="B45" s="1412"/>
      <c r="C45" s="682" t="s">
        <v>139</v>
      </c>
      <c r="D45" s="441">
        <v>100</v>
      </c>
      <c r="E45" s="437">
        <v>0</v>
      </c>
      <c r="F45" s="441">
        <v>50</v>
      </c>
      <c r="G45" s="442">
        <v>0</v>
      </c>
      <c r="H45" s="437">
        <v>0</v>
      </c>
      <c r="I45" s="1098">
        <v>0</v>
      </c>
      <c r="J45" s="1098">
        <v>0</v>
      </c>
      <c r="K45" s="1099">
        <v>0</v>
      </c>
      <c r="L45" s="1071">
        <f>SUM(I45:K45)</f>
        <v>0</v>
      </c>
      <c r="M45" s="439">
        <f>L45/F45*100</f>
        <v>0</v>
      </c>
      <c r="N45" s="440" t="s">
        <v>60</v>
      </c>
    </row>
    <row r="46" spans="1:14" x14ac:dyDescent="0.2">
      <c r="A46" s="1337"/>
      <c r="B46" s="1413"/>
      <c r="C46" s="669" t="s">
        <v>453</v>
      </c>
      <c r="D46" s="83" t="s">
        <v>60</v>
      </c>
      <c r="E46" s="82" t="s">
        <v>60</v>
      </c>
      <c r="F46" s="83">
        <v>1634</v>
      </c>
      <c r="G46" s="431">
        <v>1634</v>
      </c>
      <c r="H46" s="95">
        <v>331.1</v>
      </c>
      <c r="I46" s="83">
        <v>816</v>
      </c>
      <c r="J46" s="906">
        <v>96</v>
      </c>
      <c r="K46" s="907">
        <v>48</v>
      </c>
      <c r="L46" s="1071">
        <f t="shared" ref="L46" si="43">SUM(I46:K46)</f>
        <v>960</v>
      </c>
      <c r="M46" s="439">
        <f>L46/F46*100</f>
        <v>58.751529987760101</v>
      </c>
      <c r="N46" s="440">
        <f>L46/G46*100</f>
        <v>58.751529987760101</v>
      </c>
    </row>
    <row r="47" spans="1:14" s="527" customFormat="1" ht="49.5" customHeight="1" x14ac:dyDescent="0.2">
      <c r="A47" s="1335">
        <v>4357</v>
      </c>
      <c r="B47" s="1325" t="s">
        <v>177</v>
      </c>
      <c r="C47" s="1326"/>
      <c r="D47" s="557">
        <f>SUM(D48:D51)</f>
        <v>134050</v>
      </c>
      <c r="E47" s="558">
        <f t="shared" ref="E47" si="44">SUM(E48:E51)</f>
        <v>181231.64</v>
      </c>
      <c r="F47" s="550">
        <f t="shared" ref="F47" si="45">SUM(F48:F51)</f>
        <v>195194</v>
      </c>
      <c r="G47" s="560">
        <f t="shared" ref="G47" si="46">SUM(G48:G51)</f>
        <v>197076.04</v>
      </c>
      <c r="H47" s="559">
        <f t="shared" ref="H47" si="47">SUM(H48:H51)</f>
        <v>148791.29</v>
      </c>
      <c r="I47" s="1100">
        <f t="shared" ref="I47" si="48">SUM(I48:I51)</f>
        <v>162214</v>
      </c>
      <c r="J47" s="1100">
        <f t="shared" ref="J47" si="49">SUM(J48:J51)</f>
        <v>19084</v>
      </c>
      <c r="K47" s="1101">
        <f t="shared" ref="K47" si="50">SUM(K48:K51)</f>
        <v>9542</v>
      </c>
      <c r="L47" s="1065">
        <f>SUM(I47:K47)</f>
        <v>190840</v>
      </c>
      <c r="M47" s="554">
        <f t="shared" si="12"/>
        <v>97.769398649548663</v>
      </c>
      <c r="N47" s="555">
        <f t="shared" si="13"/>
        <v>96.835718842331104</v>
      </c>
    </row>
    <row r="48" spans="1:14" x14ac:dyDescent="0.2">
      <c r="A48" s="1336"/>
      <c r="B48" s="1411" t="s">
        <v>96</v>
      </c>
      <c r="C48" s="682" t="s">
        <v>138</v>
      </c>
      <c r="D48" s="441">
        <v>28050</v>
      </c>
      <c r="E48" s="437">
        <v>65858.06</v>
      </c>
      <c r="F48" s="441">
        <v>42753</v>
      </c>
      <c r="G48" s="949">
        <v>35388.65</v>
      </c>
      <c r="H48" s="981">
        <v>34207.550000000003</v>
      </c>
      <c r="I48" s="1096">
        <v>33915</v>
      </c>
      <c r="J48" s="1096">
        <v>3990</v>
      </c>
      <c r="K48" s="1097">
        <v>1995</v>
      </c>
      <c r="L48" s="1071">
        <f t="shared" si="4"/>
        <v>39900</v>
      </c>
      <c r="M48" s="439">
        <f t="shared" si="12"/>
        <v>93.326784085327347</v>
      </c>
      <c r="N48" s="440">
        <f t="shared" si="13"/>
        <v>112.74801384059579</v>
      </c>
    </row>
    <row r="49" spans="1:16" x14ac:dyDescent="0.2">
      <c r="A49" s="1336"/>
      <c r="B49" s="1412"/>
      <c r="C49" s="594" t="s">
        <v>401</v>
      </c>
      <c r="D49" s="441">
        <v>99000</v>
      </c>
      <c r="E49" s="437">
        <v>106447.82</v>
      </c>
      <c r="F49" s="441">
        <v>91828</v>
      </c>
      <c r="G49" s="949">
        <v>96289.29</v>
      </c>
      <c r="H49" s="981">
        <v>96289.29</v>
      </c>
      <c r="I49" s="1098">
        <v>92174</v>
      </c>
      <c r="J49" s="1098">
        <v>10844</v>
      </c>
      <c r="K49" s="1099">
        <v>5422</v>
      </c>
      <c r="L49" s="1071">
        <f>SUM(I49:K49)</f>
        <v>108440</v>
      </c>
      <c r="M49" s="439">
        <f>L49/F49*100</f>
        <v>118.09034281482774</v>
      </c>
      <c r="N49" s="440">
        <f>L49/G49*100</f>
        <v>112.61896312663642</v>
      </c>
    </row>
    <row r="50" spans="1:16" x14ac:dyDescent="0.2">
      <c r="A50" s="1336"/>
      <c r="B50" s="1412"/>
      <c r="C50" s="682" t="s">
        <v>139</v>
      </c>
      <c r="D50" s="441">
        <v>7000</v>
      </c>
      <c r="E50" s="437">
        <v>8925.76</v>
      </c>
      <c r="F50" s="441">
        <v>3000</v>
      </c>
      <c r="G50" s="949">
        <v>7785.1</v>
      </c>
      <c r="H50" s="981">
        <v>7785.1</v>
      </c>
      <c r="I50" s="1098">
        <v>7480</v>
      </c>
      <c r="J50" s="1098">
        <v>880</v>
      </c>
      <c r="K50" s="1099">
        <v>440</v>
      </c>
      <c r="L50" s="1071">
        <f>SUM(I50:K50)</f>
        <v>8800</v>
      </c>
      <c r="M50" s="439">
        <f>L50/F50*100</f>
        <v>293.33333333333331</v>
      </c>
      <c r="N50" s="440">
        <f>L50/G50*100</f>
        <v>113.03644140730368</v>
      </c>
    </row>
    <row r="51" spans="1:16" x14ac:dyDescent="0.2">
      <c r="A51" s="1336"/>
      <c r="B51" s="1412"/>
      <c r="C51" s="669" t="s">
        <v>453</v>
      </c>
      <c r="D51" s="83" t="s">
        <v>60</v>
      </c>
      <c r="E51" s="82" t="s">
        <v>60</v>
      </c>
      <c r="F51" s="83">
        <v>57613</v>
      </c>
      <c r="G51" s="431">
        <v>57613</v>
      </c>
      <c r="H51" s="95">
        <v>10509.35</v>
      </c>
      <c r="I51" s="83">
        <v>28645</v>
      </c>
      <c r="J51" s="906">
        <v>3370</v>
      </c>
      <c r="K51" s="907">
        <v>1685</v>
      </c>
      <c r="L51" s="1071">
        <f t="shared" ref="L51" si="51">SUM(I51:K51)</f>
        <v>33700</v>
      </c>
      <c r="M51" s="439">
        <f>L51/F51*100</f>
        <v>58.493742731675148</v>
      </c>
      <c r="N51" s="440">
        <f>L51/G51*100</f>
        <v>58.493742731675148</v>
      </c>
    </row>
    <row r="52" spans="1:16" s="527" customFormat="1" ht="31.5" customHeight="1" x14ac:dyDescent="0.2">
      <c r="A52" s="1335">
        <v>4359</v>
      </c>
      <c r="B52" s="1325" t="s">
        <v>266</v>
      </c>
      <c r="C52" s="1326"/>
      <c r="D52" s="557">
        <f>SUM(D53:D56)</f>
        <v>3678</v>
      </c>
      <c r="E52" s="558">
        <f t="shared" ref="E52" si="52">SUM(E53:E56)</f>
        <v>2910.2799999999997</v>
      </c>
      <c r="F52" s="550">
        <f t="shared" ref="F52" si="53">SUM(F53:F56)</f>
        <v>4497</v>
      </c>
      <c r="G52" s="560">
        <f t="shared" ref="G52" si="54">SUM(G53:G56)</f>
        <v>4230.1900000000005</v>
      </c>
      <c r="H52" s="559">
        <f t="shared" ref="H52" si="55">SUM(H53:H56)</f>
        <v>3573.4</v>
      </c>
      <c r="I52" s="1100">
        <f t="shared" ref="I52" si="56">SUM(I53:I56)</f>
        <v>3681</v>
      </c>
      <c r="J52" s="1100">
        <f t="shared" ref="J52" si="57">SUM(J53:J56)</f>
        <v>433</v>
      </c>
      <c r="K52" s="1101">
        <f t="shared" ref="K52" si="58">SUM(K53:K56)</f>
        <v>216</v>
      </c>
      <c r="L52" s="1065">
        <f>SUM(I52:K52)</f>
        <v>4330</v>
      </c>
      <c r="M52" s="554">
        <f t="shared" si="12"/>
        <v>96.286413164331776</v>
      </c>
      <c r="N52" s="555">
        <f t="shared" si="13"/>
        <v>102.35946848723106</v>
      </c>
    </row>
    <row r="53" spans="1:16" x14ac:dyDescent="0.2">
      <c r="A53" s="1336"/>
      <c r="B53" s="1411" t="s">
        <v>96</v>
      </c>
      <c r="C53" s="682" t="s">
        <v>138</v>
      </c>
      <c r="D53" s="441">
        <v>930</v>
      </c>
      <c r="E53" s="437">
        <v>1012.69</v>
      </c>
      <c r="F53" s="441">
        <v>574</v>
      </c>
      <c r="G53" s="442">
        <v>829.62</v>
      </c>
      <c r="H53" s="437">
        <v>829.62</v>
      </c>
      <c r="I53" s="1098">
        <v>765</v>
      </c>
      <c r="J53" s="1096">
        <v>90</v>
      </c>
      <c r="K53" s="1097">
        <v>45</v>
      </c>
      <c r="L53" s="1071">
        <f t="shared" si="4"/>
        <v>900</v>
      </c>
      <c r="M53" s="439">
        <f t="shared" si="12"/>
        <v>156.79442508710801</v>
      </c>
      <c r="N53" s="440">
        <f t="shared" si="13"/>
        <v>108.48340203948797</v>
      </c>
      <c r="P53" s="3"/>
    </row>
    <row r="54" spans="1:16" x14ac:dyDescent="0.2">
      <c r="A54" s="1336"/>
      <c r="B54" s="1412"/>
      <c r="C54" s="594" t="s">
        <v>401</v>
      </c>
      <c r="D54" s="441">
        <v>2248</v>
      </c>
      <c r="E54" s="437">
        <v>1897.59</v>
      </c>
      <c r="F54" s="441">
        <v>3100</v>
      </c>
      <c r="G54" s="442">
        <v>2667.4</v>
      </c>
      <c r="H54" s="437">
        <v>2667.4</v>
      </c>
      <c r="I54" s="1098">
        <v>2550</v>
      </c>
      <c r="J54" s="1096">
        <v>300</v>
      </c>
      <c r="K54" s="1097">
        <v>150</v>
      </c>
      <c r="L54" s="1071">
        <f>SUM(I54:K54)</f>
        <v>3000</v>
      </c>
      <c r="M54" s="439">
        <f>L54/F54*100</f>
        <v>96.774193548387103</v>
      </c>
      <c r="N54" s="440">
        <f>L54/G54*100</f>
        <v>112.4690710054735</v>
      </c>
      <c r="P54" s="3"/>
    </row>
    <row r="55" spans="1:16" x14ac:dyDescent="0.2">
      <c r="A55" s="1336"/>
      <c r="B55" s="1412"/>
      <c r="C55" s="682" t="s">
        <v>139</v>
      </c>
      <c r="D55" s="441">
        <v>500</v>
      </c>
      <c r="E55" s="437">
        <v>0</v>
      </c>
      <c r="F55" s="441">
        <v>100</v>
      </c>
      <c r="G55" s="442">
        <v>10.17</v>
      </c>
      <c r="H55" s="437">
        <v>10.17</v>
      </c>
      <c r="I55" s="1096">
        <v>9</v>
      </c>
      <c r="J55" s="1096">
        <v>1</v>
      </c>
      <c r="K55" s="1097">
        <v>0</v>
      </c>
      <c r="L55" s="1071">
        <f>SUM(I55:K55)</f>
        <v>10</v>
      </c>
      <c r="M55" s="439">
        <f>L55/F55*100</f>
        <v>10</v>
      </c>
      <c r="N55" s="440">
        <f>L55/G55*100</f>
        <v>98.328416912487711</v>
      </c>
      <c r="P55" s="3"/>
    </row>
    <row r="56" spans="1:16" x14ac:dyDescent="0.2">
      <c r="A56" s="1336"/>
      <c r="B56" s="1412"/>
      <c r="C56" s="669" t="s">
        <v>453</v>
      </c>
      <c r="D56" s="83" t="s">
        <v>60</v>
      </c>
      <c r="E56" s="82" t="s">
        <v>60</v>
      </c>
      <c r="F56" s="83">
        <v>723</v>
      </c>
      <c r="G56" s="431">
        <v>723</v>
      </c>
      <c r="H56" s="95">
        <v>66.209999999999994</v>
      </c>
      <c r="I56" s="83">
        <v>357</v>
      </c>
      <c r="J56" s="906">
        <v>42</v>
      </c>
      <c r="K56" s="907">
        <v>21</v>
      </c>
      <c r="L56" s="1071">
        <f t="shared" ref="L56" si="59">SUM(I56:K56)</f>
        <v>420</v>
      </c>
      <c r="M56" s="439">
        <f>L56/F56*100</f>
        <v>58.091286307053949</v>
      </c>
      <c r="N56" s="440">
        <f>L56/G56*100</f>
        <v>58.091286307053949</v>
      </c>
      <c r="P56" s="3"/>
    </row>
    <row r="57" spans="1:16" s="527" customFormat="1" ht="34.5" customHeight="1" x14ac:dyDescent="0.2">
      <c r="A57" s="513">
        <v>4369</v>
      </c>
      <c r="B57" s="1325" t="s">
        <v>178</v>
      </c>
      <c r="C57" s="1326"/>
      <c r="D57" s="550">
        <v>200</v>
      </c>
      <c r="E57" s="559">
        <v>0</v>
      </c>
      <c r="F57" s="550">
        <v>200</v>
      </c>
      <c r="G57" s="474">
        <v>200</v>
      </c>
      <c r="H57" s="475">
        <v>0</v>
      </c>
      <c r="I57" s="1100">
        <v>200</v>
      </c>
      <c r="J57" s="1100">
        <v>0</v>
      </c>
      <c r="K57" s="1101">
        <v>0</v>
      </c>
      <c r="L57" s="1065">
        <f t="shared" si="4"/>
        <v>200</v>
      </c>
      <c r="M57" s="554">
        <f t="shared" si="12"/>
        <v>100</v>
      </c>
      <c r="N57" s="555">
        <f t="shared" si="13"/>
        <v>100</v>
      </c>
    </row>
    <row r="58" spans="1:16" s="527" customFormat="1" ht="48" customHeight="1" x14ac:dyDescent="0.2">
      <c r="A58" s="1335">
        <v>4374</v>
      </c>
      <c r="B58" s="1325" t="s">
        <v>267</v>
      </c>
      <c r="C58" s="1326"/>
      <c r="D58" s="557">
        <f>SUM(D59:D62)</f>
        <v>670</v>
      </c>
      <c r="E58" s="558">
        <f t="shared" ref="E58" si="60">SUM(E59:E62)</f>
        <v>1745.83</v>
      </c>
      <c r="F58" s="550">
        <f t="shared" ref="F58" si="61">SUM(F59:F62)</f>
        <v>1068</v>
      </c>
      <c r="G58" s="560">
        <f t="shared" ref="G58" si="62">SUM(G59:G62)</f>
        <v>2152</v>
      </c>
      <c r="H58" s="559">
        <f t="shared" ref="H58" si="63">SUM(H59:H62)</f>
        <v>1827</v>
      </c>
      <c r="I58" s="1100">
        <f t="shared" ref="I58" si="64">SUM(I59:I62)</f>
        <v>1866</v>
      </c>
      <c r="J58" s="1100">
        <f t="shared" ref="J58" si="65">SUM(J59:J62)</f>
        <v>220</v>
      </c>
      <c r="K58" s="1101">
        <f t="shared" ref="K58" si="66">SUM(K59:K62)</f>
        <v>109</v>
      </c>
      <c r="L58" s="1065">
        <f>SUM(I58:K58)</f>
        <v>2195</v>
      </c>
      <c r="M58" s="554">
        <f t="shared" si="12"/>
        <v>205.52434456928839</v>
      </c>
      <c r="N58" s="555">
        <f t="shared" si="13"/>
        <v>101.99814126394051</v>
      </c>
    </row>
    <row r="59" spans="1:16" x14ac:dyDescent="0.2">
      <c r="A59" s="1336"/>
      <c r="B59" s="1411" t="s">
        <v>96</v>
      </c>
      <c r="C59" s="682" t="s">
        <v>138</v>
      </c>
      <c r="D59" s="441">
        <v>100</v>
      </c>
      <c r="E59" s="437">
        <v>225.78</v>
      </c>
      <c r="F59" s="441">
        <v>103</v>
      </c>
      <c r="G59" s="442">
        <v>372</v>
      </c>
      <c r="H59" s="437">
        <v>372</v>
      </c>
      <c r="I59" s="1096">
        <v>340</v>
      </c>
      <c r="J59" s="1096">
        <v>40</v>
      </c>
      <c r="K59" s="1097">
        <v>20</v>
      </c>
      <c r="L59" s="1071">
        <f t="shared" si="4"/>
        <v>400</v>
      </c>
      <c r="M59" s="439">
        <f t="shared" si="12"/>
        <v>388.34951456310682</v>
      </c>
      <c r="N59" s="440">
        <f t="shared" si="13"/>
        <v>107.5268817204301</v>
      </c>
    </row>
    <row r="60" spans="1:16" x14ac:dyDescent="0.2">
      <c r="A60" s="1336"/>
      <c r="B60" s="1412"/>
      <c r="C60" s="594" t="s">
        <v>401</v>
      </c>
      <c r="D60" s="441">
        <v>570</v>
      </c>
      <c r="E60" s="437">
        <v>1503.51</v>
      </c>
      <c r="F60" s="441">
        <v>620</v>
      </c>
      <c r="G60" s="442">
        <v>1450</v>
      </c>
      <c r="H60" s="437">
        <v>1450</v>
      </c>
      <c r="I60" s="1096">
        <v>1360</v>
      </c>
      <c r="J60" s="1096">
        <v>160</v>
      </c>
      <c r="K60" s="1097">
        <v>80</v>
      </c>
      <c r="L60" s="1071">
        <f>SUM(I60:K60)</f>
        <v>1600</v>
      </c>
      <c r="M60" s="439">
        <f>L60/F60*100</f>
        <v>258.06451612903226</v>
      </c>
      <c r="N60" s="440">
        <f>L60/G60*100</f>
        <v>110.34482758620689</v>
      </c>
    </row>
    <row r="61" spans="1:16" x14ac:dyDescent="0.2">
      <c r="A61" s="1336"/>
      <c r="B61" s="1412"/>
      <c r="C61" s="682" t="s">
        <v>139</v>
      </c>
      <c r="D61" s="441">
        <v>0</v>
      </c>
      <c r="E61" s="437">
        <v>16.54</v>
      </c>
      <c r="F61" s="441">
        <v>20</v>
      </c>
      <c r="G61" s="442">
        <v>5</v>
      </c>
      <c r="H61" s="437">
        <v>5</v>
      </c>
      <c r="I61" s="1096">
        <v>4</v>
      </c>
      <c r="J61" s="1096">
        <v>1</v>
      </c>
      <c r="K61" s="1097">
        <v>0</v>
      </c>
      <c r="L61" s="1071">
        <f>SUM(I61:K61)</f>
        <v>5</v>
      </c>
      <c r="M61" s="439">
        <f>L61/F61*100</f>
        <v>25</v>
      </c>
      <c r="N61" s="440">
        <f>L61/G61*100</f>
        <v>100</v>
      </c>
    </row>
    <row r="62" spans="1:16" x14ac:dyDescent="0.2">
      <c r="A62" s="1336"/>
      <c r="B62" s="1412"/>
      <c r="C62" s="669" t="s">
        <v>453</v>
      </c>
      <c r="D62" s="83" t="s">
        <v>60</v>
      </c>
      <c r="E62" s="82" t="s">
        <v>60</v>
      </c>
      <c r="F62" s="83">
        <v>325</v>
      </c>
      <c r="G62" s="431">
        <v>325</v>
      </c>
      <c r="H62" s="95">
        <v>0</v>
      </c>
      <c r="I62" s="83">
        <v>162</v>
      </c>
      <c r="J62" s="906">
        <v>19</v>
      </c>
      <c r="K62" s="907">
        <v>9</v>
      </c>
      <c r="L62" s="1071">
        <f t="shared" ref="L62" si="67">SUM(I62:K62)</f>
        <v>190</v>
      </c>
      <c r="M62" s="439">
        <f>L62/F62*100</f>
        <v>58.461538461538467</v>
      </c>
      <c r="N62" s="440">
        <f>L62/G62*100</f>
        <v>58.461538461538467</v>
      </c>
    </row>
    <row r="63" spans="1:16" s="527" customFormat="1" ht="47.25" customHeight="1" x14ac:dyDescent="0.2">
      <c r="A63" s="1335">
        <v>4376</v>
      </c>
      <c r="B63" s="1325" t="s">
        <v>179</v>
      </c>
      <c r="C63" s="1326"/>
      <c r="D63" s="557">
        <f>SUM(D64:D67)</f>
        <v>3530</v>
      </c>
      <c r="E63" s="558">
        <f t="shared" ref="E63" si="68">SUM(E64:E67)</f>
        <v>3674.2599999999998</v>
      </c>
      <c r="F63" s="550">
        <f t="shared" ref="F63" si="69">SUM(F64:F67)</f>
        <v>4115</v>
      </c>
      <c r="G63" s="560">
        <f t="shared" ref="G63" si="70">SUM(G64:G67)</f>
        <v>3606.5</v>
      </c>
      <c r="H63" s="559">
        <f t="shared" ref="H63" si="71">SUM(H64:H67)</f>
        <v>3224.5</v>
      </c>
      <c r="I63" s="1100">
        <f t="shared" ref="I63" si="72">SUM(I64:I67)</f>
        <v>3281</v>
      </c>
      <c r="J63" s="1100">
        <f t="shared" ref="J63" si="73">SUM(J64:J67)</f>
        <v>386</v>
      </c>
      <c r="K63" s="1101">
        <f t="shared" ref="K63" si="74">SUM(K64:K67)</f>
        <v>193</v>
      </c>
      <c r="L63" s="1065">
        <f>SUM(I63:K63)</f>
        <v>3860</v>
      </c>
      <c r="M63" s="554">
        <f t="shared" ref="M63:M69" si="75">L63/F63*100</f>
        <v>93.803159173754551</v>
      </c>
      <c r="N63" s="555">
        <f t="shared" ref="N63:N69" si="76">L63/G63*100</f>
        <v>107.02897546097326</v>
      </c>
    </row>
    <row r="64" spans="1:16" x14ac:dyDescent="0.2">
      <c r="A64" s="1336"/>
      <c r="B64" s="1411" t="s">
        <v>96</v>
      </c>
      <c r="C64" s="682" t="s">
        <v>138</v>
      </c>
      <c r="D64" s="441">
        <v>920</v>
      </c>
      <c r="E64" s="437">
        <v>634.76</v>
      </c>
      <c r="F64" s="441">
        <v>983</v>
      </c>
      <c r="G64" s="442">
        <v>991.2</v>
      </c>
      <c r="H64" s="437">
        <v>991.2</v>
      </c>
      <c r="I64" s="1096">
        <v>935</v>
      </c>
      <c r="J64" s="1096">
        <v>110</v>
      </c>
      <c r="K64" s="1097">
        <v>55</v>
      </c>
      <c r="L64" s="1071">
        <f t="shared" si="4"/>
        <v>1100</v>
      </c>
      <c r="M64" s="439">
        <f t="shared" si="75"/>
        <v>111.90233977619532</v>
      </c>
      <c r="N64" s="440">
        <f t="shared" si="76"/>
        <v>110.97659402744149</v>
      </c>
    </row>
    <row r="65" spans="1:14" x14ac:dyDescent="0.2">
      <c r="A65" s="1336"/>
      <c r="B65" s="1412"/>
      <c r="C65" s="594" t="s">
        <v>401</v>
      </c>
      <c r="D65" s="441">
        <v>2600</v>
      </c>
      <c r="E65" s="437">
        <v>3023.93</v>
      </c>
      <c r="F65" s="441">
        <v>2700</v>
      </c>
      <c r="G65" s="442">
        <v>2198.3000000000002</v>
      </c>
      <c r="H65" s="437">
        <v>2198.3000000000002</v>
      </c>
      <c r="I65" s="1096">
        <v>2125</v>
      </c>
      <c r="J65" s="1096">
        <v>250</v>
      </c>
      <c r="K65" s="1097">
        <v>125</v>
      </c>
      <c r="L65" s="1071">
        <f>SUM(I65:K65)</f>
        <v>2500</v>
      </c>
      <c r="M65" s="439">
        <f>L65/F65*100</f>
        <v>92.592592592592595</v>
      </c>
      <c r="N65" s="440">
        <f>L65/G65*100</f>
        <v>113.72424145930947</v>
      </c>
    </row>
    <row r="66" spans="1:14" x14ac:dyDescent="0.2">
      <c r="A66" s="1336"/>
      <c r="B66" s="1412"/>
      <c r="C66" s="682" t="s">
        <v>139</v>
      </c>
      <c r="D66" s="441">
        <v>10</v>
      </c>
      <c r="E66" s="437">
        <v>15.57</v>
      </c>
      <c r="F66" s="441">
        <v>50</v>
      </c>
      <c r="G66" s="442">
        <v>35</v>
      </c>
      <c r="H66" s="437">
        <v>35</v>
      </c>
      <c r="I66" s="1098">
        <v>34</v>
      </c>
      <c r="J66" s="1098">
        <v>4</v>
      </c>
      <c r="K66" s="1099">
        <v>2</v>
      </c>
      <c r="L66" s="1071">
        <f>SUM(I66:K66)</f>
        <v>40</v>
      </c>
      <c r="M66" s="439">
        <f>L66/F66*100</f>
        <v>80</v>
      </c>
      <c r="N66" s="440">
        <f>L66/G66*100</f>
        <v>114.28571428571428</v>
      </c>
    </row>
    <row r="67" spans="1:14" x14ac:dyDescent="0.2">
      <c r="A67" s="1336"/>
      <c r="B67" s="1412"/>
      <c r="C67" s="669" t="s">
        <v>453</v>
      </c>
      <c r="D67" s="83" t="s">
        <v>60</v>
      </c>
      <c r="E67" s="82" t="s">
        <v>60</v>
      </c>
      <c r="F67" s="83">
        <v>382</v>
      </c>
      <c r="G67" s="431">
        <v>382</v>
      </c>
      <c r="H67" s="95">
        <v>0</v>
      </c>
      <c r="I67" s="83">
        <v>187</v>
      </c>
      <c r="J67" s="906">
        <v>22</v>
      </c>
      <c r="K67" s="907">
        <v>11</v>
      </c>
      <c r="L67" s="1071">
        <f t="shared" ref="L67" si="77">SUM(I67:K67)</f>
        <v>220</v>
      </c>
      <c r="M67" s="439">
        <f>L67/F67*100</f>
        <v>57.591623036649217</v>
      </c>
      <c r="N67" s="440">
        <f>L67/G67*100</f>
        <v>57.591623036649217</v>
      </c>
    </row>
    <row r="68" spans="1:14" s="527" customFormat="1" ht="30" customHeight="1" x14ac:dyDescent="0.2">
      <c r="A68" s="1335">
        <v>4377</v>
      </c>
      <c r="B68" s="1325" t="s">
        <v>180</v>
      </c>
      <c r="C68" s="1326"/>
      <c r="D68" s="557">
        <f>SUM(D69:D72)</f>
        <v>1281</v>
      </c>
      <c r="E68" s="558">
        <f t="shared" ref="E68" si="78">SUM(E69:E72)</f>
        <v>2653.973</v>
      </c>
      <c r="F68" s="550">
        <f t="shared" ref="F68" si="79">SUM(F69:F72)</f>
        <v>1866</v>
      </c>
      <c r="G68" s="560">
        <f t="shared" ref="G68" si="80">SUM(G69:G72)</f>
        <v>2276.5</v>
      </c>
      <c r="H68" s="559">
        <f t="shared" ref="H68" si="81">SUM(H69:H72)</f>
        <v>1467.17</v>
      </c>
      <c r="I68" s="1100">
        <f t="shared" ref="I68" si="82">SUM(I69:I72)</f>
        <v>1896</v>
      </c>
      <c r="J68" s="1100">
        <f t="shared" ref="J68" si="83">SUM(J69:J72)</f>
        <v>223</v>
      </c>
      <c r="K68" s="1101">
        <f t="shared" ref="K68" si="84">SUM(K69:K72)</f>
        <v>111</v>
      </c>
      <c r="L68" s="1065">
        <f>SUM(I68:K68)</f>
        <v>2230</v>
      </c>
      <c r="M68" s="554">
        <f t="shared" si="75"/>
        <v>119.50696677384781</v>
      </c>
      <c r="N68" s="555">
        <f t="shared" si="76"/>
        <v>97.9573907313859</v>
      </c>
    </row>
    <row r="69" spans="1:14" x14ac:dyDescent="0.2">
      <c r="A69" s="1336"/>
      <c r="B69" s="1411" t="s">
        <v>96</v>
      </c>
      <c r="C69" s="682" t="s">
        <v>138</v>
      </c>
      <c r="D69" s="441">
        <v>190</v>
      </c>
      <c r="E69" s="437">
        <v>1386.1130000000001</v>
      </c>
      <c r="F69" s="441">
        <v>702</v>
      </c>
      <c r="G69" s="442">
        <v>550</v>
      </c>
      <c r="H69" s="437">
        <v>550</v>
      </c>
      <c r="I69" s="1096">
        <v>510</v>
      </c>
      <c r="J69" s="1096">
        <v>60</v>
      </c>
      <c r="K69" s="1097">
        <v>30</v>
      </c>
      <c r="L69" s="1071">
        <f t="shared" si="4"/>
        <v>600</v>
      </c>
      <c r="M69" s="439">
        <f t="shared" si="75"/>
        <v>85.470085470085465</v>
      </c>
      <c r="N69" s="440">
        <f t="shared" si="76"/>
        <v>109.09090909090908</v>
      </c>
    </row>
    <row r="70" spans="1:14" x14ac:dyDescent="0.2">
      <c r="A70" s="1336"/>
      <c r="B70" s="1412"/>
      <c r="C70" s="594" t="s">
        <v>401</v>
      </c>
      <c r="D70" s="441">
        <v>1091</v>
      </c>
      <c r="E70" s="437">
        <v>1267.8599999999999</v>
      </c>
      <c r="F70" s="441">
        <v>600</v>
      </c>
      <c r="G70" s="442">
        <v>1162.5</v>
      </c>
      <c r="H70" s="437">
        <v>917.17</v>
      </c>
      <c r="I70" s="1096">
        <v>1105</v>
      </c>
      <c r="J70" s="1096">
        <v>130</v>
      </c>
      <c r="K70" s="1097">
        <v>65</v>
      </c>
      <c r="L70" s="1071">
        <f>SUM(I70:K70)</f>
        <v>1300</v>
      </c>
      <c r="M70" s="439">
        <f>L70/F70*100</f>
        <v>216.66666666666666</v>
      </c>
      <c r="N70" s="440">
        <f>L70/G70*100</f>
        <v>111.8279569892473</v>
      </c>
    </row>
    <row r="71" spans="1:14" x14ac:dyDescent="0.2">
      <c r="A71" s="1336"/>
      <c r="B71" s="1412"/>
      <c r="C71" s="682" t="s">
        <v>139</v>
      </c>
      <c r="D71" s="441">
        <v>0</v>
      </c>
      <c r="E71" s="437">
        <v>0</v>
      </c>
      <c r="F71" s="441">
        <v>0</v>
      </c>
      <c r="G71" s="442">
        <v>0</v>
      </c>
      <c r="H71" s="437">
        <v>0</v>
      </c>
      <c r="I71" s="1096">
        <v>0</v>
      </c>
      <c r="J71" s="1096">
        <v>0</v>
      </c>
      <c r="K71" s="1097">
        <v>0</v>
      </c>
      <c r="L71" s="1071">
        <f>SUM(I71:K71)</f>
        <v>0</v>
      </c>
      <c r="M71" s="439" t="s">
        <v>60</v>
      </c>
      <c r="N71" s="440" t="s">
        <v>60</v>
      </c>
    </row>
    <row r="72" spans="1:14" x14ac:dyDescent="0.2">
      <c r="A72" s="1336"/>
      <c r="B72" s="1412"/>
      <c r="C72" s="669" t="s">
        <v>453</v>
      </c>
      <c r="D72" s="83" t="s">
        <v>60</v>
      </c>
      <c r="E72" s="82" t="s">
        <v>60</v>
      </c>
      <c r="F72" s="83">
        <v>564</v>
      </c>
      <c r="G72" s="431">
        <v>564</v>
      </c>
      <c r="H72" s="95">
        <v>0</v>
      </c>
      <c r="I72" s="83">
        <v>281</v>
      </c>
      <c r="J72" s="906">
        <v>33</v>
      </c>
      <c r="K72" s="907">
        <v>16</v>
      </c>
      <c r="L72" s="1071">
        <f t="shared" ref="L72" si="85">SUM(I72:K72)</f>
        <v>330</v>
      </c>
      <c r="M72" s="439">
        <f t="shared" ref="M72" si="86">L72/F72*100</f>
        <v>58.51063829787234</v>
      </c>
      <c r="N72" s="440">
        <f t="shared" ref="N72" si="87">L72/G72*100</f>
        <v>58.51063829787234</v>
      </c>
    </row>
    <row r="73" spans="1:14" s="527" customFormat="1" ht="31.5" customHeight="1" x14ac:dyDescent="0.2">
      <c r="A73" s="1335">
        <v>4378</v>
      </c>
      <c r="B73" s="1325" t="s">
        <v>181</v>
      </c>
      <c r="C73" s="1326"/>
      <c r="D73" s="550">
        <f>SUM(D74:D77)</f>
        <v>740</v>
      </c>
      <c r="E73" s="559">
        <f t="shared" ref="E73" si="88">SUM(E74:E77)</f>
        <v>591.08000000000004</v>
      </c>
      <c r="F73" s="550">
        <f t="shared" ref="F73" si="89">SUM(F74:F77)</f>
        <v>822</v>
      </c>
      <c r="G73" s="560">
        <f t="shared" ref="G73" si="90">SUM(G74:G77)</f>
        <v>828</v>
      </c>
      <c r="H73" s="559">
        <f t="shared" ref="H73" si="91">SUM(H74:H77)</f>
        <v>801</v>
      </c>
      <c r="I73" s="1100">
        <f t="shared" ref="I73" si="92">SUM(I74:I77)</f>
        <v>778</v>
      </c>
      <c r="J73" s="1100">
        <f t="shared" ref="J73" si="93">SUM(J74:J77)</f>
        <v>92</v>
      </c>
      <c r="K73" s="1101">
        <f t="shared" ref="K73" si="94">SUM(K74:K77)</f>
        <v>45</v>
      </c>
      <c r="L73" s="1065">
        <f>SUM(I73:K73)</f>
        <v>915</v>
      </c>
      <c r="M73" s="554">
        <f t="shared" ref="M73:M87" si="95">L73/F73*100</f>
        <v>111.31386861313868</v>
      </c>
      <c r="N73" s="555">
        <f t="shared" ref="N73:N79" si="96">L73/G73*100</f>
        <v>110.50724637681159</v>
      </c>
    </row>
    <row r="74" spans="1:14" x14ac:dyDescent="0.2">
      <c r="A74" s="1336"/>
      <c r="B74" s="1411" t="s">
        <v>96</v>
      </c>
      <c r="C74" s="682" t="s">
        <v>138</v>
      </c>
      <c r="D74" s="441">
        <v>310</v>
      </c>
      <c r="E74" s="437">
        <v>209.14</v>
      </c>
      <c r="F74" s="441">
        <v>245</v>
      </c>
      <c r="G74" s="442">
        <v>348</v>
      </c>
      <c r="H74" s="437">
        <v>348</v>
      </c>
      <c r="I74" s="1096">
        <v>340</v>
      </c>
      <c r="J74" s="1096">
        <v>40</v>
      </c>
      <c r="K74" s="1097">
        <v>20</v>
      </c>
      <c r="L74" s="1071">
        <f t="shared" si="4"/>
        <v>400</v>
      </c>
      <c r="M74" s="439">
        <f t="shared" si="95"/>
        <v>163.26530612244898</v>
      </c>
      <c r="N74" s="440">
        <f t="shared" si="96"/>
        <v>114.94252873563218</v>
      </c>
    </row>
    <row r="75" spans="1:14" x14ac:dyDescent="0.2">
      <c r="A75" s="1336"/>
      <c r="B75" s="1412"/>
      <c r="C75" s="594" t="s">
        <v>401</v>
      </c>
      <c r="D75" s="441">
        <v>400</v>
      </c>
      <c r="E75" s="437">
        <v>376.11</v>
      </c>
      <c r="F75" s="441">
        <v>500</v>
      </c>
      <c r="G75" s="442">
        <v>408</v>
      </c>
      <c r="H75" s="437">
        <v>408</v>
      </c>
      <c r="I75" s="1096">
        <v>382</v>
      </c>
      <c r="J75" s="1096">
        <v>45</v>
      </c>
      <c r="K75" s="1097">
        <v>23</v>
      </c>
      <c r="L75" s="1071">
        <f>SUM(I75:K75)</f>
        <v>450</v>
      </c>
      <c r="M75" s="439">
        <f>L75/F75*100</f>
        <v>90</v>
      </c>
      <c r="N75" s="440">
        <f>L75/G75*100</f>
        <v>110.29411764705883</v>
      </c>
    </row>
    <row r="76" spans="1:14" x14ac:dyDescent="0.2">
      <c r="A76" s="1336"/>
      <c r="B76" s="1412"/>
      <c r="C76" s="682" t="s">
        <v>139</v>
      </c>
      <c r="D76" s="441">
        <v>30</v>
      </c>
      <c r="E76" s="437">
        <v>5.83</v>
      </c>
      <c r="F76" s="441">
        <v>50</v>
      </c>
      <c r="G76" s="442">
        <v>45</v>
      </c>
      <c r="H76" s="437">
        <v>45</v>
      </c>
      <c r="I76" s="1098">
        <v>43</v>
      </c>
      <c r="J76" s="1098">
        <v>5</v>
      </c>
      <c r="K76" s="1099">
        <v>2</v>
      </c>
      <c r="L76" s="1071">
        <f>SUM(I76:K76)</f>
        <v>50</v>
      </c>
      <c r="M76" s="439">
        <f>L76/F76*100</f>
        <v>100</v>
      </c>
      <c r="N76" s="440">
        <f>L76/G76*100</f>
        <v>111.11111111111111</v>
      </c>
    </row>
    <row r="77" spans="1:14" ht="15" customHeight="1" x14ac:dyDescent="0.2">
      <c r="A77" s="1337"/>
      <c r="B77" s="1413"/>
      <c r="C77" s="669" t="s">
        <v>453</v>
      </c>
      <c r="D77" s="83" t="s">
        <v>60</v>
      </c>
      <c r="E77" s="82" t="s">
        <v>60</v>
      </c>
      <c r="F77" s="83">
        <v>27</v>
      </c>
      <c r="G77" s="431">
        <v>27</v>
      </c>
      <c r="H77" s="95">
        <v>0</v>
      </c>
      <c r="I77" s="83">
        <v>13</v>
      </c>
      <c r="J77" s="906">
        <v>2</v>
      </c>
      <c r="K77" s="907">
        <v>0</v>
      </c>
      <c r="L77" s="1071">
        <f t="shared" ref="L77" si="97">SUM(I77:K77)</f>
        <v>15</v>
      </c>
      <c r="M77" s="439">
        <f>L77/F77*100</f>
        <v>55.555555555555557</v>
      </c>
      <c r="N77" s="440">
        <f>L77/G77*100</f>
        <v>55.555555555555557</v>
      </c>
    </row>
    <row r="78" spans="1:14" s="527" customFormat="1" ht="48" customHeight="1" x14ac:dyDescent="0.2">
      <c r="A78" s="1335">
        <v>4379</v>
      </c>
      <c r="B78" s="1325" t="s">
        <v>182</v>
      </c>
      <c r="C78" s="1326"/>
      <c r="D78" s="550">
        <f>SUM(D79:D82)</f>
        <v>2335</v>
      </c>
      <c r="E78" s="559">
        <f t="shared" ref="E78" si="98">SUM(E79:E82)</f>
        <v>3038.58</v>
      </c>
      <c r="F78" s="550">
        <f t="shared" ref="F78" si="99">SUM(F79:F82)</f>
        <v>2650</v>
      </c>
      <c r="G78" s="560">
        <f t="shared" ref="G78" si="100">SUM(G79:G82)</f>
        <v>1289.33</v>
      </c>
      <c r="H78" s="559">
        <f t="shared" ref="H78" si="101">SUM(H79:H82)</f>
        <v>1107.33</v>
      </c>
      <c r="I78" s="1100">
        <f t="shared" ref="I78" si="102">SUM(I79:I82)</f>
        <v>1147</v>
      </c>
      <c r="J78" s="1100">
        <f t="shared" ref="J78" si="103">SUM(J79:J82)</f>
        <v>136</v>
      </c>
      <c r="K78" s="1101">
        <f t="shared" ref="K78" si="104">SUM(K79:K82)</f>
        <v>67</v>
      </c>
      <c r="L78" s="1065">
        <f>SUM(I78:K78)</f>
        <v>1350</v>
      </c>
      <c r="M78" s="554">
        <f t="shared" si="95"/>
        <v>50.943396226415096</v>
      </c>
      <c r="N78" s="555">
        <f t="shared" si="96"/>
        <v>104.70554474029147</v>
      </c>
    </row>
    <row r="79" spans="1:14" x14ac:dyDescent="0.2">
      <c r="A79" s="1336"/>
      <c r="B79" s="1411" t="s">
        <v>96</v>
      </c>
      <c r="C79" s="682" t="s">
        <v>138</v>
      </c>
      <c r="D79" s="441">
        <v>435</v>
      </c>
      <c r="E79" s="437">
        <v>960.52</v>
      </c>
      <c r="F79" s="441">
        <v>668</v>
      </c>
      <c r="G79" s="442">
        <v>214.33</v>
      </c>
      <c r="H79" s="437">
        <v>214.33</v>
      </c>
      <c r="I79" s="1096">
        <v>204</v>
      </c>
      <c r="J79" s="1096">
        <v>24</v>
      </c>
      <c r="K79" s="1097">
        <v>12</v>
      </c>
      <c r="L79" s="1071">
        <f t="shared" si="4"/>
        <v>240</v>
      </c>
      <c r="M79" s="439">
        <f t="shared" si="95"/>
        <v>35.928143712574851</v>
      </c>
      <c r="N79" s="440">
        <f t="shared" si="96"/>
        <v>111.97685811598936</v>
      </c>
    </row>
    <row r="80" spans="1:14" x14ac:dyDescent="0.2">
      <c r="A80" s="1336"/>
      <c r="B80" s="1412"/>
      <c r="C80" s="594" t="s">
        <v>401</v>
      </c>
      <c r="D80" s="441">
        <v>1800</v>
      </c>
      <c r="E80" s="437">
        <v>2049.8200000000002</v>
      </c>
      <c r="F80" s="441">
        <v>1750</v>
      </c>
      <c r="G80" s="442">
        <v>888</v>
      </c>
      <c r="H80" s="437">
        <v>888</v>
      </c>
      <c r="I80" s="1096">
        <v>850</v>
      </c>
      <c r="J80" s="1096">
        <v>100</v>
      </c>
      <c r="K80" s="1097">
        <v>50</v>
      </c>
      <c r="L80" s="1071">
        <f>SUM(I80:K80)</f>
        <v>1000</v>
      </c>
      <c r="M80" s="439">
        <f>L80/F80*100</f>
        <v>57.142857142857139</v>
      </c>
      <c r="N80" s="440">
        <f>L80/G80*100</f>
        <v>112.61261261261262</v>
      </c>
    </row>
    <row r="81" spans="1:14" x14ac:dyDescent="0.2">
      <c r="A81" s="1336"/>
      <c r="B81" s="1412"/>
      <c r="C81" s="682" t="s">
        <v>139</v>
      </c>
      <c r="D81" s="441">
        <v>100</v>
      </c>
      <c r="E81" s="437">
        <v>28.24</v>
      </c>
      <c r="F81" s="441">
        <v>50</v>
      </c>
      <c r="G81" s="442">
        <v>5</v>
      </c>
      <c r="H81" s="437">
        <v>5</v>
      </c>
      <c r="I81" s="1098">
        <v>4</v>
      </c>
      <c r="J81" s="1098">
        <v>1</v>
      </c>
      <c r="K81" s="1099">
        <v>0</v>
      </c>
      <c r="L81" s="1071">
        <f>SUM(I81:K81)</f>
        <v>5</v>
      </c>
      <c r="M81" s="439">
        <f>L81/F81*100</f>
        <v>10</v>
      </c>
      <c r="N81" s="440">
        <f>L81/G81*100</f>
        <v>100</v>
      </c>
    </row>
    <row r="82" spans="1:14" x14ac:dyDescent="0.2">
      <c r="A82" s="1337"/>
      <c r="B82" s="1413"/>
      <c r="C82" s="669" t="s">
        <v>453</v>
      </c>
      <c r="D82" s="83" t="s">
        <v>60</v>
      </c>
      <c r="E82" s="82"/>
      <c r="F82" s="83">
        <v>182</v>
      </c>
      <c r="G82" s="431">
        <v>182</v>
      </c>
      <c r="H82" s="95">
        <v>0</v>
      </c>
      <c r="I82" s="83">
        <v>89</v>
      </c>
      <c r="J82" s="906">
        <v>11</v>
      </c>
      <c r="K82" s="907">
        <v>5</v>
      </c>
      <c r="L82" s="1071">
        <f t="shared" ref="L82" si="105">SUM(I82:K82)</f>
        <v>105</v>
      </c>
      <c r="M82" s="439">
        <f>L82/F82*100</f>
        <v>57.692307692307686</v>
      </c>
      <c r="N82" s="440">
        <f>L82/G82*100</f>
        <v>57.692307692307686</v>
      </c>
    </row>
    <row r="83" spans="1:14" s="527" customFormat="1" ht="30.75" customHeight="1" x14ac:dyDescent="0.2">
      <c r="A83" s="1408" t="s">
        <v>303</v>
      </c>
      <c r="B83" s="1409"/>
      <c r="C83" s="1410"/>
      <c r="D83" s="552">
        <f t="shared" ref="D83" si="106">SUM(D84:D86)</f>
        <v>0</v>
      </c>
      <c r="E83" s="553">
        <f t="shared" ref="E83:K83" si="107">SUM(E84:E86)</f>
        <v>1915</v>
      </c>
      <c r="F83" s="552">
        <f t="shared" si="107"/>
        <v>0</v>
      </c>
      <c r="G83" s="553">
        <f t="shared" si="107"/>
        <v>6879.9</v>
      </c>
      <c r="H83" s="551">
        <f t="shared" si="107"/>
        <v>3129.9</v>
      </c>
      <c r="I83" s="1106">
        <f t="shared" si="107"/>
        <v>0</v>
      </c>
      <c r="J83" s="1106">
        <f t="shared" si="107"/>
        <v>0</v>
      </c>
      <c r="K83" s="1107">
        <f t="shared" si="107"/>
        <v>0</v>
      </c>
      <c r="L83" s="1065">
        <f>SUM(I83:K83)</f>
        <v>0</v>
      </c>
      <c r="M83" s="554" t="s">
        <v>60</v>
      </c>
      <c r="N83" s="555">
        <f>L83/G83*100</f>
        <v>0</v>
      </c>
    </row>
    <row r="84" spans="1:14" s="20" customFormat="1" ht="27.75" customHeight="1" x14ac:dyDescent="0.25">
      <c r="A84" s="652">
        <v>4351</v>
      </c>
      <c r="B84" s="1340" t="s">
        <v>492</v>
      </c>
      <c r="C84" s="1341"/>
      <c r="D84" s="483">
        <v>0</v>
      </c>
      <c r="E84" s="482">
        <v>199</v>
      </c>
      <c r="F84" s="483">
        <v>0</v>
      </c>
      <c r="G84" s="484">
        <v>0</v>
      </c>
      <c r="H84" s="482">
        <v>0</v>
      </c>
      <c r="I84" s="1108">
        <v>0</v>
      </c>
      <c r="J84" s="1108">
        <v>0</v>
      </c>
      <c r="K84" s="1109">
        <v>0</v>
      </c>
      <c r="L84" s="1110">
        <f>SUM(I84:K84)</f>
        <v>0</v>
      </c>
      <c r="M84" s="485" t="s">
        <v>60</v>
      </c>
      <c r="N84" s="486" t="s">
        <v>60</v>
      </c>
    </row>
    <row r="85" spans="1:14" s="20" customFormat="1" ht="27.75" customHeight="1" x14ac:dyDescent="0.25">
      <c r="A85" s="652">
        <v>4371</v>
      </c>
      <c r="B85" s="1340" t="s">
        <v>491</v>
      </c>
      <c r="C85" s="1341"/>
      <c r="D85" s="483">
        <v>0</v>
      </c>
      <c r="E85" s="482">
        <v>1212</v>
      </c>
      <c r="F85" s="483">
        <v>0</v>
      </c>
      <c r="G85" s="484">
        <v>0</v>
      </c>
      <c r="H85" s="482">
        <v>0</v>
      </c>
      <c r="I85" s="1108">
        <v>0</v>
      </c>
      <c r="J85" s="1108">
        <v>0</v>
      </c>
      <c r="K85" s="1109">
        <v>0</v>
      </c>
      <c r="L85" s="1110">
        <f>SUM(I85:K85)</f>
        <v>0</v>
      </c>
      <c r="M85" s="485" t="s">
        <v>60</v>
      </c>
      <c r="N85" s="486" t="s">
        <v>60</v>
      </c>
    </row>
    <row r="86" spans="1:14" s="20" customFormat="1" ht="30" customHeight="1" x14ac:dyDescent="0.25">
      <c r="A86" s="652">
        <v>4399</v>
      </c>
      <c r="B86" s="1340" t="s">
        <v>183</v>
      </c>
      <c r="C86" s="1341"/>
      <c r="D86" s="483">
        <v>0</v>
      </c>
      <c r="E86" s="482">
        <v>504</v>
      </c>
      <c r="F86" s="483">
        <v>0</v>
      </c>
      <c r="G86" s="484">
        <v>6879.9</v>
      </c>
      <c r="H86" s="482">
        <v>3129.9</v>
      </c>
      <c r="I86" s="1108">
        <v>0</v>
      </c>
      <c r="J86" s="1108">
        <v>0</v>
      </c>
      <c r="K86" s="1109">
        <v>0</v>
      </c>
      <c r="L86" s="1110">
        <f>SUM(I86:K86)</f>
        <v>0</v>
      </c>
      <c r="M86" s="485" t="s">
        <v>60</v>
      </c>
      <c r="N86" s="486">
        <f t="shared" ref="N86" si="108">L86/G86*100</f>
        <v>0</v>
      </c>
    </row>
    <row r="87" spans="1:14" s="527" customFormat="1" ht="33.75" customHeight="1" x14ac:dyDescent="0.2">
      <c r="A87" s="838">
        <v>4399</v>
      </c>
      <c r="B87" s="1325" t="s">
        <v>183</v>
      </c>
      <c r="C87" s="1326"/>
      <c r="D87" s="550">
        <v>12814</v>
      </c>
      <c r="E87" s="559">
        <v>868.49</v>
      </c>
      <c r="F87" s="550">
        <v>20925</v>
      </c>
      <c r="G87" s="474">
        <v>27258.36</v>
      </c>
      <c r="H87" s="475">
        <v>435.66</v>
      </c>
      <c r="I87" s="905">
        <v>8950</v>
      </c>
      <c r="J87" s="905">
        <v>850</v>
      </c>
      <c r="K87" s="905">
        <v>500</v>
      </c>
      <c r="L87" s="1065">
        <f t="shared" si="4"/>
        <v>10300</v>
      </c>
      <c r="M87" s="554">
        <f t="shared" si="95"/>
        <v>49.223416965352449</v>
      </c>
      <c r="N87" s="555">
        <f>L87/G87*100</f>
        <v>37.786572633129801</v>
      </c>
    </row>
    <row r="88" spans="1:14" s="527" customFormat="1" ht="32.25" customHeight="1" x14ac:dyDescent="0.2">
      <c r="A88" s="513">
        <v>4399</v>
      </c>
      <c r="B88" s="1401" t="s">
        <v>184</v>
      </c>
      <c r="C88" s="1326"/>
      <c r="D88" s="552">
        <v>2500</v>
      </c>
      <c r="E88" s="551">
        <v>1624.8</v>
      </c>
      <c r="F88" s="552">
        <v>2500</v>
      </c>
      <c r="G88" s="496">
        <v>2500</v>
      </c>
      <c r="H88" s="504">
        <v>1594.1</v>
      </c>
      <c r="I88" s="1082">
        <v>3500</v>
      </c>
      <c r="J88" s="1082">
        <v>0</v>
      </c>
      <c r="K88" s="1083">
        <v>0</v>
      </c>
      <c r="L88" s="1065">
        <f t="shared" si="4"/>
        <v>3500</v>
      </c>
      <c r="M88" s="554">
        <f>L88/F88*100</f>
        <v>140</v>
      </c>
      <c r="N88" s="555">
        <f>L88/G88*100</f>
        <v>140</v>
      </c>
    </row>
    <row r="89" spans="1:14" s="527" customFormat="1" ht="32.25" customHeight="1" x14ac:dyDescent="0.2">
      <c r="A89" s="513">
        <v>4399</v>
      </c>
      <c r="B89" s="1401" t="s">
        <v>408</v>
      </c>
      <c r="C89" s="1326"/>
      <c r="D89" s="552">
        <v>0</v>
      </c>
      <c r="E89" s="551">
        <v>3627.16</v>
      </c>
      <c r="F89" s="552">
        <v>3650</v>
      </c>
      <c r="G89" s="496">
        <v>3650</v>
      </c>
      <c r="H89" s="504">
        <v>1535.03</v>
      </c>
      <c r="I89" s="1106">
        <v>3630</v>
      </c>
      <c r="J89" s="1106">
        <v>0</v>
      </c>
      <c r="K89" s="1107">
        <v>0</v>
      </c>
      <c r="L89" s="1065">
        <f t="shared" ref="L89:L90" si="109">SUM(I89:K89)</f>
        <v>3630</v>
      </c>
      <c r="M89" s="554">
        <f t="shared" ref="M89:M90" si="110">L89/F89*100</f>
        <v>99.452054794520549</v>
      </c>
      <c r="N89" s="555">
        <f>L89/G89*100</f>
        <v>99.452054794520549</v>
      </c>
    </row>
    <row r="90" spans="1:14" s="527" customFormat="1" ht="32.25" customHeight="1" x14ac:dyDescent="0.2">
      <c r="A90" s="513">
        <v>4399</v>
      </c>
      <c r="B90" s="1401" t="s">
        <v>476</v>
      </c>
      <c r="C90" s="1326"/>
      <c r="D90" s="552">
        <v>0</v>
      </c>
      <c r="E90" s="551">
        <v>0</v>
      </c>
      <c r="F90" s="552">
        <v>50</v>
      </c>
      <c r="G90" s="496">
        <v>50</v>
      </c>
      <c r="H90" s="504">
        <v>0</v>
      </c>
      <c r="I90" s="1106">
        <v>50</v>
      </c>
      <c r="J90" s="1106">
        <v>0</v>
      </c>
      <c r="K90" s="1107">
        <v>0</v>
      </c>
      <c r="L90" s="1065">
        <f t="shared" si="109"/>
        <v>50</v>
      </c>
      <c r="M90" s="554">
        <f t="shared" si="110"/>
        <v>100</v>
      </c>
      <c r="N90" s="555">
        <f>L90/G90*100</f>
        <v>100</v>
      </c>
    </row>
    <row r="91" spans="1:14" s="527" customFormat="1" ht="51" customHeight="1" x14ac:dyDescent="0.2">
      <c r="A91" s="1403" t="s">
        <v>555</v>
      </c>
      <c r="B91" s="1329"/>
      <c r="C91" s="1326"/>
      <c r="D91" s="552">
        <f t="shared" ref="D91" si="111">SUM(D92:D108)</f>
        <v>0</v>
      </c>
      <c r="E91" s="551">
        <f>SUM(E92:E108)</f>
        <v>0</v>
      </c>
      <c r="F91" s="552">
        <f t="shared" ref="F91:L91" si="112">SUM(F92:F108)</f>
        <v>0</v>
      </c>
      <c r="G91" s="553">
        <f t="shared" si="112"/>
        <v>83389.560000000012</v>
      </c>
      <c r="H91" s="551">
        <f t="shared" si="112"/>
        <v>83389.560000000012</v>
      </c>
      <c r="I91" s="1106">
        <f t="shared" si="112"/>
        <v>0</v>
      </c>
      <c r="J91" s="1106">
        <f t="shared" si="112"/>
        <v>0</v>
      </c>
      <c r="K91" s="1107">
        <f t="shared" si="112"/>
        <v>0</v>
      </c>
      <c r="L91" s="1065">
        <f>SUM(I91:K91)</f>
        <v>0</v>
      </c>
      <c r="M91" s="554" t="s">
        <v>60</v>
      </c>
      <c r="N91" s="555">
        <f>L91/G91*100</f>
        <v>0</v>
      </c>
    </row>
    <row r="92" spans="1:14" s="65" customFormat="1" ht="20.100000000000001" customHeight="1" x14ac:dyDescent="0.25">
      <c r="A92" s="813">
        <v>4312</v>
      </c>
      <c r="B92" s="1399" t="s">
        <v>534</v>
      </c>
      <c r="C92" s="1400"/>
      <c r="D92" s="483">
        <v>0</v>
      </c>
      <c r="E92" s="482">
        <v>0</v>
      </c>
      <c r="F92" s="483">
        <v>0</v>
      </c>
      <c r="G92" s="484">
        <v>5097.97</v>
      </c>
      <c r="H92" s="482">
        <v>5097.97</v>
      </c>
      <c r="I92" s="1108">
        <v>0</v>
      </c>
      <c r="J92" s="1108">
        <v>0</v>
      </c>
      <c r="K92" s="1109">
        <v>0</v>
      </c>
      <c r="L92" s="1110">
        <f>SUM(I92:K92)</f>
        <v>0</v>
      </c>
      <c r="M92" s="485" t="s">
        <v>60</v>
      </c>
      <c r="N92" s="486">
        <f t="shared" ref="N92:N108" si="113">L92/G92*100</f>
        <v>0</v>
      </c>
    </row>
    <row r="93" spans="1:14" s="65" customFormat="1" ht="20.100000000000001" customHeight="1" x14ac:dyDescent="0.25">
      <c r="A93" s="813">
        <v>4344</v>
      </c>
      <c r="B93" s="1399" t="s">
        <v>535</v>
      </c>
      <c r="C93" s="1400"/>
      <c r="D93" s="483">
        <v>0</v>
      </c>
      <c r="E93" s="482">
        <v>0</v>
      </c>
      <c r="F93" s="483">
        <v>0</v>
      </c>
      <c r="G93" s="484">
        <v>9626.49</v>
      </c>
      <c r="H93" s="482">
        <v>9626.49</v>
      </c>
      <c r="I93" s="1108">
        <v>0</v>
      </c>
      <c r="J93" s="1108">
        <v>0</v>
      </c>
      <c r="K93" s="1109">
        <v>0</v>
      </c>
      <c r="L93" s="1110">
        <f t="shared" ref="L93:L108" si="114">SUM(I93:K93)</f>
        <v>0</v>
      </c>
      <c r="M93" s="485" t="s">
        <v>60</v>
      </c>
      <c r="N93" s="486">
        <f t="shared" si="113"/>
        <v>0</v>
      </c>
    </row>
    <row r="94" spans="1:14" s="65" customFormat="1" ht="20.100000000000001" customHeight="1" x14ac:dyDescent="0.25">
      <c r="A94" s="813">
        <v>4350</v>
      </c>
      <c r="B94" s="1399" t="s">
        <v>122</v>
      </c>
      <c r="C94" s="1400"/>
      <c r="D94" s="483">
        <v>0</v>
      </c>
      <c r="E94" s="482">
        <v>0</v>
      </c>
      <c r="F94" s="483">
        <v>0</v>
      </c>
      <c r="G94" s="484">
        <v>5929</v>
      </c>
      <c r="H94" s="482">
        <v>5929</v>
      </c>
      <c r="I94" s="1108">
        <v>0</v>
      </c>
      <c r="J94" s="1108">
        <v>0</v>
      </c>
      <c r="K94" s="1109">
        <v>0</v>
      </c>
      <c r="L94" s="1110">
        <f t="shared" si="114"/>
        <v>0</v>
      </c>
      <c r="M94" s="485" t="s">
        <v>60</v>
      </c>
      <c r="N94" s="486">
        <f t="shared" si="113"/>
        <v>0</v>
      </c>
    </row>
    <row r="95" spans="1:14" s="65" customFormat="1" ht="20.100000000000001" customHeight="1" x14ac:dyDescent="0.25">
      <c r="A95" s="813">
        <v>4351</v>
      </c>
      <c r="B95" s="1399" t="s">
        <v>536</v>
      </c>
      <c r="C95" s="1400"/>
      <c r="D95" s="483">
        <v>0</v>
      </c>
      <c r="E95" s="482">
        <v>0</v>
      </c>
      <c r="F95" s="483">
        <v>0</v>
      </c>
      <c r="G95" s="484">
        <v>19733.75</v>
      </c>
      <c r="H95" s="482">
        <v>19733.75</v>
      </c>
      <c r="I95" s="1108">
        <v>0</v>
      </c>
      <c r="J95" s="1108">
        <v>0</v>
      </c>
      <c r="K95" s="1109">
        <v>0</v>
      </c>
      <c r="L95" s="1110">
        <f t="shared" si="114"/>
        <v>0</v>
      </c>
      <c r="M95" s="485" t="s">
        <v>60</v>
      </c>
      <c r="N95" s="486">
        <f t="shared" si="113"/>
        <v>0</v>
      </c>
    </row>
    <row r="96" spans="1:14" s="65" customFormat="1" ht="20.100000000000001" customHeight="1" x14ac:dyDescent="0.25">
      <c r="A96" s="813">
        <v>4352</v>
      </c>
      <c r="B96" s="1399" t="s">
        <v>537</v>
      </c>
      <c r="C96" s="1400"/>
      <c r="D96" s="483">
        <v>0</v>
      </c>
      <c r="E96" s="482">
        <v>0</v>
      </c>
      <c r="F96" s="483">
        <v>0</v>
      </c>
      <c r="G96" s="484">
        <v>750</v>
      </c>
      <c r="H96" s="482">
        <v>750</v>
      </c>
      <c r="I96" s="1108">
        <v>0</v>
      </c>
      <c r="J96" s="1108">
        <v>0</v>
      </c>
      <c r="K96" s="1109">
        <v>0</v>
      </c>
      <c r="L96" s="1110">
        <f t="shared" si="114"/>
        <v>0</v>
      </c>
      <c r="M96" s="485" t="s">
        <v>60</v>
      </c>
      <c r="N96" s="486">
        <f t="shared" si="113"/>
        <v>0</v>
      </c>
    </row>
    <row r="97" spans="1:14" s="65" customFormat="1" ht="20.100000000000001" customHeight="1" x14ac:dyDescent="0.25">
      <c r="A97" s="813">
        <v>4354</v>
      </c>
      <c r="B97" s="1399" t="s">
        <v>302</v>
      </c>
      <c r="C97" s="1400"/>
      <c r="D97" s="483">
        <v>0</v>
      </c>
      <c r="E97" s="482">
        <v>0</v>
      </c>
      <c r="F97" s="483">
        <v>0</v>
      </c>
      <c r="G97" s="484">
        <v>2567.0500000000002</v>
      </c>
      <c r="H97" s="482">
        <v>2567.0500000000002</v>
      </c>
      <c r="I97" s="1108">
        <v>0</v>
      </c>
      <c r="J97" s="1108">
        <v>0</v>
      </c>
      <c r="K97" s="1109">
        <v>0</v>
      </c>
      <c r="L97" s="1110">
        <f t="shared" si="114"/>
        <v>0</v>
      </c>
      <c r="M97" s="485" t="s">
        <v>60</v>
      </c>
      <c r="N97" s="486">
        <f t="shared" si="113"/>
        <v>0</v>
      </c>
    </row>
    <row r="98" spans="1:14" s="65" customFormat="1" ht="20.100000000000001" customHeight="1" x14ac:dyDescent="0.25">
      <c r="A98" s="813">
        <v>4355</v>
      </c>
      <c r="B98" s="1399" t="s">
        <v>538</v>
      </c>
      <c r="C98" s="1400"/>
      <c r="D98" s="483">
        <v>0</v>
      </c>
      <c r="E98" s="482">
        <v>0</v>
      </c>
      <c r="F98" s="483">
        <v>0</v>
      </c>
      <c r="G98" s="484">
        <v>458.05</v>
      </c>
      <c r="H98" s="482">
        <v>458.05</v>
      </c>
      <c r="I98" s="1108">
        <v>0</v>
      </c>
      <c r="J98" s="1108">
        <v>0</v>
      </c>
      <c r="K98" s="1109">
        <v>0</v>
      </c>
      <c r="L98" s="1110">
        <f t="shared" si="114"/>
        <v>0</v>
      </c>
      <c r="M98" s="485" t="s">
        <v>60</v>
      </c>
      <c r="N98" s="486">
        <f t="shared" si="113"/>
        <v>0</v>
      </c>
    </row>
    <row r="99" spans="1:14" s="65" customFormat="1" ht="20.100000000000001" customHeight="1" x14ac:dyDescent="0.25">
      <c r="A99" s="813">
        <v>4356</v>
      </c>
      <c r="B99" s="1399" t="s">
        <v>123</v>
      </c>
      <c r="C99" s="1400"/>
      <c r="D99" s="483">
        <v>0</v>
      </c>
      <c r="E99" s="482">
        <v>0</v>
      </c>
      <c r="F99" s="483">
        <v>0</v>
      </c>
      <c r="G99" s="484">
        <v>4425.92</v>
      </c>
      <c r="H99" s="482">
        <v>4425.92</v>
      </c>
      <c r="I99" s="1108">
        <v>0</v>
      </c>
      <c r="J99" s="1108">
        <v>0</v>
      </c>
      <c r="K99" s="1109">
        <v>0</v>
      </c>
      <c r="L99" s="1110">
        <f t="shared" si="114"/>
        <v>0</v>
      </c>
      <c r="M99" s="485" t="s">
        <v>60</v>
      </c>
      <c r="N99" s="486">
        <f t="shared" si="113"/>
        <v>0</v>
      </c>
    </row>
    <row r="100" spans="1:14" s="65" customFormat="1" ht="20.100000000000001" customHeight="1" x14ac:dyDescent="0.25">
      <c r="A100" s="813">
        <v>4357</v>
      </c>
      <c r="B100" s="1399" t="s">
        <v>539</v>
      </c>
      <c r="C100" s="1400"/>
      <c r="D100" s="483">
        <v>0</v>
      </c>
      <c r="E100" s="482">
        <v>0</v>
      </c>
      <c r="F100" s="483">
        <v>0</v>
      </c>
      <c r="G100" s="484">
        <v>8449.83</v>
      </c>
      <c r="H100" s="482">
        <v>8449.83</v>
      </c>
      <c r="I100" s="1108">
        <v>0</v>
      </c>
      <c r="J100" s="1108">
        <v>0</v>
      </c>
      <c r="K100" s="1109">
        <v>0</v>
      </c>
      <c r="L100" s="1110">
        <f t="shared" si="114"/>
        <v>0</v>
      </c>
      <c r="M100" s="485" t="s">
        <v>60</v>
      </c>
      <c r="N100" s="486">
        <f t="shared" si="113"/>
        <v>0</v>
      </c>
    </row>
    <row r="101" spans="1:14" s="65" customFormat="1" ht="20.100000000000001" customHeight="1" x14ac:dyDescent="0.25">
      <c r="A101" s="813">
        <v>4359</v>
      </c>
      <c r="B101" s="1399" t="s">
        <v>540</v>
      </c>
      <c r="C101" s="1400"/>
      <c r="D101" s="483">
        <v>0</v>
      </c>
      <c r="E101" s="482">
        <v>0</v>
      </c>
      <c r="F101" s="483">
        <v>0</v>
      </c>
      <c r="G101" s="484">
        <v>2751.08</v>
      </c>
      <c r="H101" s="482">
        <v>2751.08</v>
      </c>
      <c r="I101" s="1108">
        <v>0</v>
      </c>
      <c r="J101" s="1108">
        <v>0</v>
      </c>
      <c r="K101" s="1109">
        <v>0</v>
      </c>
      <c r="L101" s="1110">
        <f t="shared" si="114"/>
        <v>0</v>
      </c>
      <c r="M101" s="485" t="s">
        <v>60</v>
      </c>
      <c r="N101" s="486">
        <f t="shared" si="113"/>
        <v>0</v>
      </c>
    </row>
    <row r="102" spans="1:14" s="65" customFormat="1" ht="20.100000000000001" customHeight="1" x14ac:dyDescent="0.25">
      <c r="A102" s="813">
        <v>4371</v>
      </c>
      <c r="B102" s="1399" t="s">
        <v>541</v>
      </c>
      <c r="C102" s="1400"/>
      <c r="D102" s="483">
        <v>0</v>
      </c>
      <c r="E102" s="482">
        <v>0</v>
      </c>
      <c r="F102" s="483">
        <v>0</v>
      </c>
      <c r="G102" s="484">
        <v>8739.82</v>
      </c>
      <c r="H102" s="482">
        <v>8739.82</v>
      </c>
      <c r="I102" s="1108">
        <v>0</v>
      </c>
      <c r="J102" s="1108">
        <v>0</v>
      </c>
      <c r="K102" s="1109">
        <v>0</v>
      </c>
      <c r="L102" s="1110">
        <f t="shared" si="114"/>
        <v>0</v>
      </c>
      <c r="M102" s="485" t="s">
        <v>60</v>
      </c>
      <c r="N102" s="486">
        <f t="shared" si="113"/>
        <v>0</v>
      </c>
    </row>
    <row r="103" spans="1:14" s="65" customFormat="1" ht="20.100000000000001" customHeight="1" x14ac:dyDescent="0.25">
      <c r="A103" s="813">
        <v>4374</v>
      </c>
      <c r="B103" s="1399" t="s">
        <v>542</v>
      </c>
      <c r="C103" s="1400"/>
      <c r="D103" s="483">
        <v>0</v>
      </c>
      <c r="E103" s="482">
        <v>0</v>
      </c>
      <c r="F103" s="483">
        <v>0</v>
      </c>
      <c r="G103" s="484">
        <v>1298.08</v>
      </c>
      <c r="H103" s="482">
        <v>1298.08</v>
      </c>
      <c r="I103" s="1108">
        <v>0</v>
      </c>
      <c r="J103" s="1108">
        <v>0</v>
      </c>
      <c r="K103" s="1109">
        <v>0</v>
      </c>
      <c r="L103" s="1110">
        <f t="shared" si="114"/>
        <v>0</v>
      </c>
      <c r="M103" s="485" t="s">
        <v>60</v>
      </c>
      <c r="N103" s="486">
        <f t="shared" si="113"/>
        <v>0</v>
      </c>
    </row>
    <row r="104" spans="1:14" s="65" customFormat="1" ht="20.100000000000001" customHeight="1" x14ac:dyDescent="0.25">
      <c r="A104" s="813">
        <v>4375</v>
      </c>
      <c r="B104" s="1399" t="s">
        <v>543</v>
      </c>
      <c r="C104" s="1400"/>
      <c r="D104" s="483">
        <v>0</v>
      </c>
      <c r="E104" s="482">
        <v>0</v>
      </c>
      <c r="F104" s="483">
        <v>0</v>
      </c>
      <c r="G104" s="484">
        <v>2305.5</v>
      </c>
      <c r="H104" s="482">
        <v>2305.5</v>
      </c>
      <c r="I104" s="1108">
        <v>0</v>
      </c>
      <c r="J104" s="1108">
        <v>0</v>
      </c>
      <c r="K104" s="1109">
        <v>0</v>
      </c>
      <c r="L104" s="1110">
        <f t="shared" si="114"/>
        <v>0</v>
      </c>
      <c r="M104" s="485" t="s">
        <v>60</v>
      </c>
      <c r="N104" s="486">
        <f t="shared" si="113"/>
        <v>0</v>
      </c>
    </row>
    <row r="105" spans="1:14" s="65" customFormat="1" ht="20.100000000000001" customHeight="1" x14ac:dyDescent="0.25">
      <c r="A105" s="813">
        <v>4376</v>
      </c>
      <c r="B105" s="1399" t="s">
        <v>544</v>
      </c>
      <c r="C105" s="1400"/>
      <c r="D105" s="483">
        <v>0</v>
      </c>
      <c r="E105" s="482">
        <v>0</v>
      </c>
      <c r="F105" s="483">
        <v>0</v>
      </c>
      <c r="G105" s="484">
        <v>3873.66</v>
      </c>
      <c r="H105" s="482">
        <v>3873.66</v>
      </c>
      <c r="I105" s="1108">
        <v>0</v>
      </c>
      <c r="J105" s="1108">
        <v>0</v>
      </c>
      <c r="K105" s="1109">
        <v>0</v>
      </c>
      <c r="L105" s="1110">
        <f t="shared" si="114"/>
        <v>0</v>
      </c>
      <c r="M105" s="485" t="s">
        <v>60</v>
      </c>
      <c r="N105" s="486">
        <f t="shared" si="113"/>
        <v>0</v>
      </c>
    </row>
    <row r="106" spans="1:14" s="65" customFormat="1" ht="20.100000000000001" customHeight="1" x14ac:dyDescent="0.25">
      <c r="A106" s="813">
        <v>4377</v>
      </c>
      <c r="B106" s="1399" t="s">
        <v>545</v>
      </c>
      <c r="C106" s="1400"/>
      <c r="D106" s="483">
        <v>0</v>
      </c>
      <c r="E106" s="482">
        <v>0</v>
      </c>
      <c r="F106" s="483">
        <v>0</v>
      </c>
      <c r="G106" s="484">
        <v>1709.05</v>
      </c>
      <c r="H106" s="482">
        <v>1709.05</v>
      </c>
      <c r="I106" s="1108">
        <v>0</v>
      </c>
      <c r="J106" s="1108">
        <v>0</v>
      </c>
      <c r="K106" s="1109">
        <v>0</v>
      </c>
      <c r="L106" s="1110">
        <f t="shared" si="114"/>
        <v>0</v>
      </c>
      <c r="M106" s="485" t="s">
        <v>60</v>
      </c>
      <c r="N106" s="486">
        <f t="shared" si="113"/>
        <v>0</v>
      </c>
    </row>
    <row r="107" spans="1:14" s="65" customFormat="1" ht="20.100000000000001" customHeight="1" x14ac:dyDescent="0.25">
      <c r="A107" s="813">
        <v>4378</v>
      </c>
      <c r="B107" s="1399" t="s">
        <v>546</v>
      </c>
      <c r="C107" s="1400"/>
      <c r="D107" s="483">
        <v>0</v>
      </c>
      <c r="E107" s="482">
        <v>0</v>
      </c>
      <c r="F107" s="483">
        <v>0</v>
      </c>
      <c r="G107" s="484">
        <v>2047.68</v>
      </c>
      <c r="H107" s="482">
        <v>2047.68</v>
      </c>
      <c r="I107" s="1108">
        <v>0</v>
      </c>
      <c r="J107" s="1108">
        <v>0</v>
      </c>
      <c r="K107" s="1109">
        <v>0</v>
      </c>
      <c r="L107" s="1110">
        <f t="shared" si="114"/>
        <v>0</v>
      </c>
      <c r="M107" s="485" t="s">
        <v>60</v>
      </c>
      <c r="N107" s="486">
        <f t="shared" si="113"/>
        <v>0</v>
      </c>
    </row>
    <row r="108" spans="1:14" s="65" customFormat="1" ht="20.100000000000001" customHeight="1" x14ac:dyDescent="0.25">
      <c r="A108" s="813">
        <v>4379</v>
      </c>
      <c r="B108" s="1399" t="s">
        <v>547</v>
      </c>
      <c r="C108" s="1400"/>
      <c r="D108" s="483">
        <v>0</v>
      </c>
      <c r="E108" s="482">
        <v>0</v>
      </c>
      <c r="F108" s="483">
        <v>0</v>
      </c>
      <c r="G108" s="484">
        <v>3626.63</v>
      </c>
      <c r="H108" s="482">
        <v>3626.63</v>
      </c>
      <c r="I108" s="1108">
        <v>0</v>
      </c>
      <c r="J108" s="1108">
        <v>0</v>
      </c>
      <c r="K108" s="1109">
        <v>0</v>
      </c>
      <c r="L108" s="1110">
        <f t="shared" si="114"/>
        <v>0</v>
      </c>
      <c r="M108" s="485" t="s">
        <v>60</v>
      </c>
      <c r="N108" s="486">
        <f t="shared" si="113"/>
        <v>0</v>
      </c>
    </row>
    <row r="109" spans="1:14" s="527" customFormat="1" ht="20.100000000000001" customHeight="1" x14ac:dyDescent="0.2">
      <c r="A109" s="1403" t="s">
        <v>185</v>
      </c>
      <c r="B109" s="1329"/>
      <c r="C109" s="1326"/>
      <c r="D109" s="552">
        <f t="shared" ref="D109:L109" si="115">SUM(D110:D112)</f>
        <v>25000</v>
      </c>
      <c r="E109" s="551">
        <f t="shared" si="115"/>
        <v>5724.75</v>
      </c>
      <c r="F109" s="552">
        <f t="shared" si="115"/>
        <v>25000</v>
      </c>
      <c r="G109" s="553">
        <f t="shared" si="115"/>
        <v>20154.230000000003</v>
      </c>
      <c r="H109" s="551">
        <f t="shared" si="115"/>
        <v>1220.77</v>
      </c>
      <c r="I109" s="1106">
        <f t="shared" si="115"/>
        <v>30000</v>
      </c>
      <c r="J109" s="1106">
        <f t="shared" si="115"/>
        <v>0</v>
      </c>
      <c r="K109" s="1107">
        <f t="shared" si="115"/>
        <v>0</v>
      </c>
      <c r="L109" s="1065">
        <f>SUM(I109:K109)</f>
        <v>30000</v>
      </c>
      <c r="M109" s="554">
        <f>L109/F109*100</f>
        <v>120</v>
      </c>
      <c r="N109" s="555">
        <f t="shared" ref="N109:N115" si="116">L109/G109*100</f>
        <v>148.85212682399674</v>
      </c>
    </row>
    <row r="110" spans="1:14" s="65" customFormat="1" ht="20.100000000000001" customHeight="1" x14ac:dyDescent="0.25">
      <c r="A110" s="813">
        <v>4350</v>
      </c>
      <c r="B110" s="1399" t="s">
        <v>122</v>
      </c>
      <c r="C110" s="1400"/>
      <c r="D110" s="483">
        <v>0</v>
      </c>
      <c r="E110" s="482">
        <v>4317.05</v>
      </c>
      <c r="F110" s="483">
        <v>0</v>
      </c>
      <c r="G110" s="484">
        <v>968.08</v>
      </c>
      <c r="H110" s="482">
        <v>515.77</v>
      </c>
      <c r="I110" s="1108">
        <v>0</v>
      </c>
      <c r="J110" s="1108">
        <v>0</v>
      </c>
      <c r="K110" s="1109">
        <v>0</v>
      </c>
      <c r="L110" s="1110">
        <f>SUM(I110:K110)</f>
        <v>0</v>
      </c>
      <c r="M110" s="485" t="s">
        <v>60</v>
      </c>
      <c r="N110" s="486">
        <f t="shared" si="116"/>
        <v>0</v>
      </c>
    </row>
    <row r="111" spans="1:14" s="65" customFormat="1" ht="32.25" customHeight="1" x14ac:dyDescent="0.25">
      <c r="A111" s="813">
        <v>4357</v>
      </c>
      <c r="B111" s="1404" t="s">
        <v>199</v>
      </c>
      <c r="C111" s="1405"/>
      <c r="D111" s="483">
        <v>0</v>
      </c>
      <c r="E111" s="482">
        <v>1407.7</v>
      </c>
      <c r="F111" s="483">
        <v>0</v>
      </c>
      <c r="G111" s="484">
        <v>705</v>
      </c>
      <c r="H111" s="482">
        <v>705</v>
      </c>
      <c r="I111" s="1108">
        <v>0</v>
      </c>
      <c r="J111" s="1108">
        <v>0</v>
      </c>
      <c r="K111" s="1109">
        <v>0</v>
      </c>
      <c r="L111" s="1110">
        <f t="shared" ref="L111:L112" si="117">SUM(I111:K111)</f>
        <v>0</v>
      </c>
      <c r="M111" s="485" t="s">
        <v>60</v>
      </c>
      <c r="N111" s="486">
        <f t="shared" ref="N111" si="118">L111/G111*100</f>
        <v>0</v>
      </c>
    </row>
    <row r="112" spans="1:14" s="65" customFormat="1" ht="27.75" customHeight="1" x14ac:dyDescent="0.25">
      <c r="A112" s="813">
        <v>4399</v>
      </c>
      <c r="B112" s="1404" t="s">
        <v>306</v>
      </c>
      <c r="C112" s="1405"/>
      <c r="D112" s="483">
        <v>25000</v>
      </c>
      <c r="E112" s="482">
        <v>0</v>
      </c>
      <c r="F112" s="483">
        <v>25000</v>
      </c>
      <c r="G112" s="484">
        <v>18481.150000000001</v>
      </c>
      <c r="H112" s="482">
        <v>0</v>
      </c>
      <c r="I112" s="1108">
        <v>30000</v>
      </c>
      <c r="J112" s="1108">
        <v>0</v>
      </c>
      <c r="K112" s="1109"/>
      <c r="L112" s="1110">
        <f t="shared" si="117"/>
        <v>30000</v>
      </c>
      <c r="M112" s="485">
        <f t="shared" ref="M112:M113" si="119">L112/F112*100</f>
        <v>120</v>
      </c>
      <c r="N112" s="486">
        <f t="shared" si="116"/>
        <v>162.32756078490783</v>
      </c>
    </row>
    <row r="113" spans="1:15" s="63" customFormat="1" ht="16.5" customHeight="1" x14ac:dyDescent="0.2">
      <c r="A113" s="690" t="s">
        <v>96</v>
      </c>
      <c r="B113" s="1406" t="s">
        <v>139</v>
      </c>
      <c r="C113" s="1407"/>
      <c r="D113" s="444">
        <v>25000</v>
      </c>
      <c r="E113" s="443">
        <v>5724.75</v>
      </c>
      <c r="F113" s="444">
        <v>25000</v>
      </c>
      <c r="G113" s="445">
        <f>+G109</f>
        <v>20154.230000000003</v>
      </c>
      <c r="H113" s="443">
        <f>+H109</f>
        <v>1220.77</v>
      </c>
      <c r="I113" s="1111">
        <v>30000</v>
      </c>
      <c r="J113" s="1111">
        <v>0</v>
      </c>
      <c r="K113" s="1112"/>
      <c r="L113" s="1071">
        <f>SUM(I113:K113)</f>
        <v>30000</v>
      </c>
      <c r="M113" s="439">
        <f t="shared" si="119"/>
        <v>120</v>
      </c>
      <c r="N113" s="440">
        <f t="shared" si="116"/>
        <v>148.85212682399674</v>
      </c>
    </row>
    <row r="114" spans="1:15" s="527" customFormat="1" ht="20.100000000000001" customHeight="1" thickBot="1" x14ac:dyDescent="0.25">
      <c r="A114" s="676">
        <v>6402</v>
      </c>
      <c r="B114" s="1401" t="s">
        <v>304</v>
      </c>
      <c r="C114" s="1402"/>
      <c r="D114" s="552">
        <v>0</v>
      </c>
      <c r="E114" s="551">
        <v>1.1499999999999999</v>
      </c>
      <c r="F114" s="552">
        <v>0</v>
      </c>
      <c r="G114" s="553">
        <v>0</v>
      </c>
      <c r="H114" s="551">
        <v>0</v>
      </c>
      <c r="I114" s="1106">
        <v>0</v>
      </c>
      <c r="J114" s="1106">
        <v>0</v>
      </c>
      <c r="K114" s="1107">
        <v>0</v>
      </c>
      <c r="L114" s="1065">
        <f>SUM(I114:K114)</f>
        <v>0</v>
      </c>
      <c r="M114" s="554" t="s">
        <v>60</v>
      </c>
      <c r="N114" s="555" t="s">
        <v>60</v>
      </c>
    </row>
    <row r="115" spans="1:15" s="19" customFormat="1" ht="20.100000000000001" customHeight="1" thickBot="1" x14ac:dyDescent="0.3">
      <c r="A115" s="192"/>
      <c r="B115" s="203" t="s">
        <v>85</v>
      </c>
      <c r="C115" s="189"/>
      <c r="D115" s="183">
        <f t="shared" ref="D115:L115" si="120">D9+D14+D15+D16+D21+D22+D27+D32+D37+D42+D47+D52+D57+D58+D63+D68+D73+D78+D87+D83+D88+D89+D90+D91+D109+D114</f>
        <v>389135</v>
      </c>
      <c r="E115" s="184">
        <f t="shared" si="120"/>
        <v>476324.88300000009</v>
      </c>
      <c r="F115" s="183">
        <f t="shared" si="120"/>
        <v>559847</v>
      </c>
      <c r="G115" s="185">
        <f t="shared" si="120"/>
        <v>652044.11</v>
      </c>
      <c r="H115" s="184">
        <f t="shared" si="120"/>
        <v>464888.06000000006</v>
      </c>
      <c r="I115" s="183">
        <f>I9+I14+I15+I16+I21+I22+I27+I32+I37+I42+I47+I52+I57+I58+I63+I68+I73+I78+I87+I83+I88+I89+I90+I91+I109+I114</f>
        <v>461054</v>
      </c>
      <c r="J115" s="982">
        <f>J9+J14+J15+J16+J21+J22+J27+J32+J37+J42+J47+J52+J57+J58+J63+J68+J73+J78+J87+J83+J88+J89+J90+J91+J109+J114</f>
        <v>49549</v>
      </c>
      <c r="K115" s="193">
        <f>K9+K14+K15+K16+K21+K22+K27+K32+K37+K42+K47+K52+K57+K58+K63+K68+K73+K78+K87+K83+K88+K89+K90+K91+K109+K114</f>
        <v>24842</v>
      </c>
      <c r="L115" s="1067">
        <f t="shared" si="120"/>
        <v>535445</v>
      </c>
      <c r="M115" s="194">
        <f>L115/F115*100</f>
        <v>95.641309143390956</v>
      </c>
      <c r="N115" s="187">
        <f t="shared" si="116"/>
        <v>82.117910703924622</v>
      </c>
      <c r="O115" s="271"/>
    </row>
    <row r="117" spans="1:15" ht="15.75" x14ac:dyDescent="0.25">
      <c r="B117" s="19"/>
      <c r="D117" s="3"/>
      <c r="F117" s="3"/>
      <c r="L117" s="3"/>
    </row>
  </sheetData>
  <mergeCells count="86">
    <mergeCell ref="A32:A36"/>
    <mergeCell ref="B32:C32"/>
    <mergeCell ref="B33:B36"/>
    <mergeCell ref="B17:B20"/>
    <mergeCell ref="A27:A31"/>
    <mergeCell ref="B27:C27"/>
    <mergeCell ref="B28:B31"/>
    <mergeCell ref="B14:C14"/>
    <mergeCell ref="A16:A20"/>
    <mergeCell ref="B22:C22"/>
    <mergeCell ref="A22:A26"/>
    <mergeCell ref="B23:B26"/>
    <mergeCell ref="B15:C15"/>
    <mergeCell ref="B16:C16"/>
    <mergeCell ref="B21:C21"/>
    <mergeCell ref="B9:C9"/>
    <mergeCell ref="A2:N2"/>
    <mergeCell ref="A6:A7"/>
    <mergeCell ref="D6:E6"/>
    <mergeCell ref="F6:H6"/>
    <mergeCell ref="I6:L6"/>
    <mergeCell ref="M6:M7"/>
    <mergeCell ref="N6:N7"/>
    <mergeCell ref="B6:C7"/>
    <mergeCell ref="A9:A13"/>
    <mergeCell ref="B10:B13"/>
    <mergeCell ref="A37:A41"/>
    <mergeCell ref="B37:C37"/>
    <mergeCell ref="B38:B41"/>
    <mergeCell ref="B68:C68"/>
    <mergeCell ref="B69:B72"/>
    <mergeCell ref="B57:C57"/>
    <mergeCell ref="A47:A51"/>
    <mergeCell ref="B47:C47"/>
    <mergeCell ref="B48:B51"/>
    <mergeCell ref="A52:A56"/>
    <mergeCell ref="B52:C52"/>
    <mergeCell ref="B53:B56"/>
    <mergeCell ref="A42:A46"/>
    <mergeCell ref="B42:C42"/>
    <mergeCell ref="B43:B46"/>
    <mergeCell ref="A58:A62"/>
    <mergeCell ref="A73:A77"/>
    <mergeCell ref="B73:C73"/>
    <mergeCell ref="B74:B77"/>
    <mergeCell ref="B79:B82"/>
    <mergeCell ref="A68:A72"/>
    <mergeCell ref="B58:C58"/>
    <mergeCell ref="B59:B62"/>
    <mergeCell ref="A63:A67"/>
    <mergeCell ref="B63:C63"/>
    <mergeCell ref="B64:B67"/>
    <mergeCell ref="A83:C83"/>
    <mergeCell ref="B86:C86"/>
    <mergeCell ref="B85:C85"/>
    <mergeCell ref="B92:C92"/>
    <mergeCell ref="B78:C78"/>
    <mergeCell ref="A78:A82"/>
    <mergeCell ref="B87:C87"/>
    <mergeCell ref="B88:C88"/>
    <mergeCell ref="B89:C89"/>
    <mergeCell ref="B90:C90"/>
    <mergeCell ref="B84:C84"/>
    <mergeCell ref="A91:C91"/>
    <mergeCell ref="B108:C108"/>
    <mergeCell ref="B114:C114"/>
    <mergeCell ref="A109:C109"/>
    <mergeCell ref="B110:C110"/>
    <mergeCell ref="B111:C111"/>
    <mergeCell ref="B113:C113"/>
    <mergeCell ref="B112:C112"/>
    <mergeCell ref="B93:C93"/>
    <mergeCell ref="B94:C94"/>
    <mergeCell ref="B95:C95"/>
    <mergeCell ref="B96:C96"/>
    <mergeCell ref="B97:C97"/>
    <mergeCell ref="B103:C103"/>
    <mergeCell ref="B104:C104"/>
    <mergeCell ref="B107:C107"/>
    <mergeCell ref="B98:C98"/>
    <mergeCell ref="B99:C99"/>
    <mergeCell ref="B100:C100"/>
    <mergeCell ref="B101:C101"/>
    <mergeCell ref="B102:C102"/>
    <mergeCell ref="B105:C105"/>
    <mergeCell ref="B106:C106"/>
  </mergeCells>
  <printOptions horizontalCentered="1"/>
  <pageMargins left="0.59055118110236227" right="0.59055118110236227" top="0.78740157480314965" bottom="0.78740157480314965" header="0.59055118110236227" footer="0.59055118110236227"/>
  <pageSetup paperSize="9" scale="65" fitToHeight="0" orientation="landscape" r:id="rId1"/>
  <headerFooter alignWithMargins="0"/>
  <rowBreaks count="1" manualBreakCount="1">
    <brk id="7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19"/>
  <sheetViews>
    <sheetView workbookViewId="0"/>
  </sheetViews>
  <sheetFormatPr defaultRowHeight="12.75" x14ac:dyDescent="0.2"/>
  <cols>
    <col min="1" max="1" width="7.7109375" style="1" customWidth="1"/>
    <col min="2" max="2" width="50.42578125" style="1" customWidth="1"/>
    <col min="3" max="3" width="14.7109375" style="2" customWidth="1"/>
    <col min="4" max="4" width="14.7109375" style="3" customWidth="1"/>
    <col min="5" max="5" width="14.7109375" style="2" customWidth="1"/>
    <col min="6" max="6" width="17" style="3" customWidth="1"/>
    <col min="7" max="8" width="14.7109375" style="3" customWidth="1"/>
    <col min="9" max="9" width="15.7109375" style="3" customWidth="1"/>
    <col min="10" max="10" width="14.7109375" style="3" customWidth="1"/>
    <col min="11" max="11" width="14.7109375" style="843" customWidth="1"/>
    <col min="12" max="12" width="9.85546875" style="5" customWidth="1"/>
    <col min="13" max="13" width="9.7109375" style="5" customWidth="1"/>
    <col min="14" max="256" width="9.140625" style="1"/>
    <col min="257" max="257" width="6.7109375" style="1" customWidth="1"/>
    <col min="258" max="258" width="49.85546875" style="1" customWidth="1"/>
    <col min="259" max="261" width="14.7109375" style="1" customWidth="1"/>
    <col min="262" max="262" width="17" style="1" customWidth="1"/>
    <col min="263" max="266" width="14.7109375" style="1" customWidth="1"/>
    <col min="267" max="267" width="16.7109375" style="1" customWidth="1"/>
    <col min="268" max="268" width="6.85546875" style="1" customWidth="1"/>
    <col min="269" max="269" width="7.42578125" style="1" customWidth="1"/>
    <col min="270" max="512" width="9.140625" style="1"/>
    <col min="513" max="513" width="6.7109375" style="1" customWidth="1"/>
    <col min="514" max="514" width="49.85546875" style="1" customWidth="1"/>
    <col min="515" max="517" width="14.7109375" style="1" customWidth="1"/>
    <col min="518" max="518" width="17" style="1" customWidth="1"/>
    <col min="519" max="522" width="14.7109375" style="1" customWidth="1"/>
    <col min="523" max="523" width="16.7109375" style="1" customWidth="1"/>
    <col min="524" max="524" width="6.85546875" style="1" customWidth="1"/>
    <col min="525" max="525" width="7.42578125" style="1" customWidth="1"/>
    <col min="526" max="768" width="9.140625" style="1"/>
    <col min="769" max="769" width="6.7109375" style="1" customWidth="1"/>
    <col min="770" max="770" width="49.85546875" style="1" customWidth="1"/>
    <col min="771" max="773" width="14.7109375" style="1" customWidth="1"/>
    <col min="774" max="774" width="17" style="1" customWidth="1"/>
    <col min="775" max="778" width="14.7109375" style="1" customWidth="1"/>
    <col min="779" max="779" width="16.7109375" style="1" customWidth="1"/>
    <col min="780" max="780" width="6.85546875" style="1" customWidth="1"/>
    <col min="781" max="781" width="7.42578125" style="1" customWidth="1"/>
    <col min="782" max="1024" width="9.140625" style="1"/>
    <col min="1025" max="1025" width="6.7109375" style="1" customWidth="1"/>
    <col min="1026" max="1026" width="49.85546875" style="1" customWidth="1"/>
    <col min="1027" max="1029" width="14.7109375" style="1" customWidth="1"/>
    <col min="1030" max="1030" width="17" style="1" customWidth="1"/>
    <col min="1031" max="1034" width="14.7109375" style="1" customWidth="1"/>
    <col min="1035" max="1035" width="16.7109375" style="1" customWidth="1"/>
    <col min="1036" max="1036" width="6.85546875" style="1" customWidth="1"/>
    <col min="1037" max="1037" width="7.42578125" style="1" customWidth="1"/>
    <col min="1038" max="1280" width="9.140625" style="1"/>
    <col min="1281" max="1281" width="6.7109375" style="1" customWidth="1"/>
    <col min="1282" max="1282" width="49.85546875" style="1" customWidth="1"/>
    <col min="1283" max="1285" width="14.7109375" style="1" customWidth="1"/>
    <col min="1286" max="1286" width="17" style="1" customWidth="1"/>
    <col min="1287" max="1290" width="14.7109375" style="1" customWidth="1"/>
    <col min="1291" max="1291" width="16.7109375" style="1" customWidth="1"/>
    <col min="1292" max="1292" width="6.85546875" style="1" customWidth="1"/>
    <col min="1293" max="1293" width="7.42578125" style="1" customWidth="1"/>
    <col min="1294" max="1536" width="9.140625" style="1"/>
    <col min="1537" max="1537" width="6.7109375" style="1" customWidth="1"/>
    <col min="1538" max="1538" width="49.85546875" style="1" customWidth="1"/>
    <col min="1539" max="1541" width="14.7109375" style="1" customWidth="1"/>
    <col min="1542" max="1542" width="17" style="1" customWidth="1"/>
    <col min="1543" max="1546" width="14.7109375" style="1" customWidth="1"/>
    <col min="1547" max="1547" width="16.7109375" style="1" customWidth="1"/>
    <col min="1548" max="1548" width="6.85546875" style="1" customWidth="1"/>
    <col min="1549" max="1549" width="7.42578125" style="1" customWidth="1"/>
    <col min="1550" max="1792" width="9.140625" style="1"/>
    <col min="1793" max="1793" width="6.7109375" style="1" customWidth="1"/>
    <col min="1794" max="1794" width="49.85546875" style="1" customWidth="1"/>
    <col min="1795" max="1797" width="14.7109375" style="1" customWidth="1"/>
    <col min="1798" max="1798" width="17" style="1" customWidth="1"/>
    <col min="1799" max="1802" width="14.7109375" style="1" customWidth="1"/>
    <col min="1803" max="1803" width="16.7109375" style="1" customWidth="1"/>
    <col min="1804" max="1804" width="6.85546875" style="1" customWidth="1"/>
    <col min="1805" max="1805" width="7.42578125" style="1" customWidth="1"/>
    <col min="1806" max="2048" width="9.140625" style="1"/>
    <col min="2049" max="2049" width="6.7109375" style="1" customWidth="1"/>
    <col min="2050" max="2050" width="49.85546875" style="1" customWidth="1"/>
    <col min="2051" max="2053" width="14.7109375" style="1" customWidth="1"/>
    <col min="2054" max="2054" width="17" style="1" customWidth="1"/>
    <col min="2055" max="2058" width="14.7109375" style="1" customWidth="1"/>
    <col min="2059" max="2059" width="16.7109375" style="1" customWidth="1"/>
    <col min="2060" max="2060" width="6.85546875" style="1" customWidth="1"/>
    <col min="2061" max="2061" width="7.42578125" style="1" customWidth="1"/>
    <col min="2062" max="2304" width="9.140625" style="1"/>
    <col min="2305" max="2305" width="6.7109375" style="1" customWidth="1"/>
    <col min="2306" max="2306" width="49.85546875" style="1" customWidth="1"/>
    <col min="2307" max="2309" width="14.7109375" style="1" customWidth="1"/>
    <col min="2310" max="2310" width="17" style="1" customWidth="1"/>
    <col min="2311" max="2314" width="14.7109375" style="1" customWidth="1"/>
    <col min="2315" max="2315" width="16.7109375" style="1" customWidth="1"/>
    <col min="2316" max="2316" width="6.85546875" style="1" customWidth="1"/>
    <col min="2317" max="2317" width="7.42578125" style="1" customWidth="1"/>
    <col min="2318" max="2560" width="9.140625" style="1"/>
    <col min="2561" max="2561" width="6.7109375" style="1" customWidth="1"/>
    <col min="2562" max="2562" width="49.85546875" style="1" customWidth="1"/>
    <col min="2563" max="2565" width="14.7109375" style="1" customWidth="1"/>
    <col min="2566" max="2566" width="17" style="1" customWidth="1"/>
    <col min="2567" max="2570" width="14.7109375" style="1" customWidth="1"/>
    <col min="2571" max="2571" width="16.7109375" style="1" customWidth="1"/>
    <col min="2572" max="2572" width="6.85546875" style="1" customWidth="1"/>
    <col min="2573" max="2573" width="7.42578125" style="1" customWidth="1"/>
    <col min="2574" max="2816" width="9.140625" style="1"/>
    <col min="2817" max="2817" width="6.7109375" style="1" customWidth="1"/>
    <col min="2818" max="2818" width="49.85546875" style="1" customWidth="1"/>
    <col min="2819" max="2821" width="14.7109375" style="1" customWidth="1"/>
    <col min="2822" max="2822" width="17" style="1" customWidth="1"/>
    <col min="2823" max="2826" width="14.7109375" style="1" customWidth="1"/>
    <col min="2827" max="2827" width="16.7109375" style="1" customWidth="1"/>
    <col min="2828" max="2828" width="6.85546875" style="1" customWidth="1"/>
    <col min="2829" max="2829" width="7.42578125" style="1" customWidth="1"/>
    <col min="2830" max="3072" width="9.140625" style="1"/>
    <col min="3073" max="3073" width="6.7109375" style="1" customWidth="1"/>
    <col min="3074" max="3074" width="49.85546875" style="1" customWidth="1"/>
    <col min="3075" max="3077" width="14.7109375" style="1" customWidth="1"/>
    <col min="3078" max="3078" width="17" style="1" customWidth="1"/>
    <col min="3079" max="3082" width="14.7109375" style="1" customWidth="1"/>
    <col min="3083" max="3083" width="16.7109375" style="1" customWidth="1"/>
    <col min="3084" max="3084" width="6.85546875" style="1" customWidth="1"/>
    <col min="3085" max="3085" width="7.42578125" style="1" customWidth="1"/>
    <col min="3086" max="3328" width="9.140625" style="1"/>
    <col min="3329" max="3329" width="6.7109375" style="1" customWidth="1"/>
    <col min="3330" max="3330" width="49.85546875" style="1" customWidth="1"/>
    <col min="3331" max="3333" width="14.7109375" style="1" customWidth="1"/>
    <col min="3334" max="3334" width="17" style="1" customWidth="1"/>
    <col min="3335" max="3338" width="14.7109375" style="1" customWidth="1"/>
    <col min="3339" max="3339" width="16.7109375" style="1" customWidth="1"/>
    <col min="3340" max="3340" width="6.85546875" style="1" customWidth="1"/>
    <col min="3341" max="3341" width="7.42578125" style="1" customWidth="1"/>
    <col min="3342" max="3584" width="9.140625" style="1"/>
    <col min="3585" max="3585" width="6.7109375" style="1" customWidth="1"/>
    <col min="3586" max="3586" width="49.85546875" style="1" customWidth="1"/>
    <col min="3587" max="3589" width="14.7109375" style="1" customWidth="1"/>
    <col min="3590" max="3590" width="17" style="1" customWidth="1"/>
    <col min="3591" max="3594" width="14.7109375" style="1" customWidth="1"/>
    <col min="3595" max="3595" width="16.7109375" style="1" customWidth="1"/>
    <col min="3596" max="3596" width="6.85546875" style="1" customWidth="1"/>
    <col min="3597" max="3597" width="7.42578125" style="1" customWidth="1"/>
    <col min="3598" max="3840" width="9.140625" style="1"/>
    <col min="3841" max="3841" width="6.7109375" style="1" customWidth="1"/>
    <col min="3842" max="3842" width="49.85546875" style="1" customWidth="1"/>
    <col min="3843" max="3845" width="14.7109375" style="1" customWidth="1"/>
    <col min="3846" max="3846" width="17" style="1" customWidth="1"/>
    <col min="3847" max="3850" width="14.7109375" style="1" customWidth="1"/>
    <col min="3851" max="3851" width="16.7109375" style="1" customWidth="1"/>
    <col min="3852" max="3852" width="6.85546875" style="1" customWidth="1"/>
    <col min="3853" max="3853" width="7.42578125" style="1" customWidth="1"/>
    <col min="3854" max="4096" width="9.140625" style="1"/>
    <col min="4097" max="4097" width="6.7109375" style="1" customWidth="1"/>
    <col min="4098" max="4098" width="49.85546875" style="1" customWidth="1"/>
    <col min="4099" max="4101" width="14.7109375" style="1" customWidth="1"/>
    <col min="4102" max="4102" width="17" style="1" customWidth="1"/>
    <col min="4103" max="4106" width="14.7109375" style="1" customWidth="1"/>
    <col min="4107" max="4107" width="16.7109375" style="1" customWidth="1"/>
    <col min="4108" max="4108" width="6.85546875" style="1" customWidth="1"/>
    <col min="4109" max="4109" width="7.42578125" style="1" customWidth="1"/>
    <col min="4110" max="4352" width="9.140625" style="1"/>
    <col min="4353" max="4353" width="6.7109375" style="1" customWidth="1"/>
    <col min="4354" max="4354" width="49.85546875" style="1" customWidth="1"/>
    <col min="4355" max="4357" width="14.7109375" style="1" customWidth="1"/>
    <col min="4358" max="4358" width="17" style="1" customWidth="1"/>
    <col min="4359" max="4362" width="14.7109375" style="1" customWidth="1"/>
    <col min="4363" max="4363" width="16.7109375" style="1" customWidth="1"/>
    <col min="4364" max="4364" width="6.85546875" style="1" customWidth="1"/>
    <col min="4365" max="4365" width="7.42578125" style="1" customWidth="1"/>
    <col min="4366" max="4608" width="9.140625" style="1"/>
    <col min="4609" max="4609" width="6.7109375" style="1" customWidth="1"/>
    <col min="4610" max="4610" width="49.85546875" style="1" customWidth="1"/>
    <col min="4611" max="4613" width="14.7109375" style="1" customWidth="1"/>
    <col min="4614" max="4614" width="17" style="1" customWidth="1"/>
    <col min="4615" max="4618" width="14.7109375" style="1" customWidth="1"/>
    <col min="4619" max="4619" width="16.7109375" style="1" customWidth="1"/>
    <col min="4620" max="4620" width="6.85546875" style="1" customWidth="1"/>
    <col min="4621" max="4621" width="7.42578125" style="1" customWidth="1"/>
    <col min="4622" max="4864" width="9.140625" style="1"/>
    <col min="4865" max="4865" width="6.7109375" style="1" customWidth="1"/>
    <col min="4866" max="4866" width="49.85546875" style="1" customWidth="1"/>
    <col min="4867" max="4869" width="14.7109375" style="1" customWidth="1"/>
    <col min="4870" max="4870" width="17" style="1" customWidth="1"/>
    <col min="4871" max="4874" width="14.7109375" style="1" customWidth="1"/>
    <col min="4875" max="4875" width="16.7109375" style="1" customWidth="1"/>
    <col min="4876" max="4876" width="6.85546875" style="1" customWidth="1"/>
    <col min="4877" max="4877" width="7.42578125" style="1" customWidth="1"/>
    <col min="4878" max="5120" width="9.140625" style="1"/>
    <col min="5121" max="5121" width="6.7109375" style="1" customWidth="1"/>
    <col min="5122" max="5122" width="49.85546875" style="1" customWidth="1"/>
    <col min="5123" max="5125" width="14.7109375" style="1" customWidth="1"/>
    <col min="5126" max="5126" width="17" style="1" customWidth="1"/>
    <col min="5127" max="5130" width="14.7109375" style="1" customWidth="1"/>
    <col min="5131" max="5131" width="16.7109375" style="1" customWidth="1"/>
    <col min="5132" max="5132" width="6.85546875" style="1" customWidth="1"/>
    <col min="5133" max="5133" width="7.42578125" style="1" customWidth="1"/>
    <col min="5134" max="5376" width="9.140625" style="1"/>
    <col min="5377" max="5377" width="6.7109375" style="1" customWidth="1"/>
    <col min="5378" max="5378" width="49.85546875" style="1" customWidth="1"/>
    <col min="5379" max="5381" width="14.7109375" style="1" customWidth="1"/>
    <col min="5382" max="5382" width="17" style="1" customWidth="1"/>
    <col min="5383" max="5386" width="14.7109375" style="1" customWidth="1"/>
    <col min="5387" max="5387" width="16.7109375" style="1" customWidth="1"/>
    <col min="5388" max="5388" width="6.85546875" style="1" customWidth="1"/>
    <col min="5389" max="5389" width="7.42578125" style="1" customWidth="1"/>
    <col min="5390" max="5632" width="9.140625" style="1"/>
    <col min="5633" max="5633" width="6.7109375" style="1" customWidth="1"/>
    <col min="5634" max="5634" width="49.85546875" style="1" customWidth="1"/>
    <col min="5635" max="5637" width="14.7109375" style="1" customWidth="1"/>
    <col min="5638" max="5638" width="17" style="1" customWidth="1"/>
    <col min="5639" max="5642" width="14.7109375" style="1" customWidth="1"/>
    <col min="5643" max="5643" width="16.7109375" style="1" customWidth="1"/>
    <col min="5644" max="5644" width="6.85546875" style="1" customWidth="1"/>
    <col min="5645" max="5645" width="7.42578125" style="1" customWidth="1"/>
    <col min="5646" max="5888" width="9.140625" style="1"/>
    <col min="5889" max="5889" width="6.7109375" style="1" customWidth="1"/>
    <col min="5890" max="5890" width="49.85546875" style="1" customWidth="1"/>
    <col min="5891" max="5893" width="14.7109375" style="1" customWidth="1"/>
    <col min="5894" max="5894" width="17" style="1" customWidth="1"/>
    <col min="5895" max="5898" width="14.7109375" style="1" customWidth="1"/>
    <col min="5899" max="5899" width="16.7109375" style="1" customWidth="1"/>
    <col min="5900" max="5900" width="6.85546875" style="1" customWidth="1"/>
    <col min="5901" max="5901" width="7.42578125" style="1" customWidth="1"/>
    <col min="5902" max="6144" width="9.140625" style="1"/>
    <col min="6145" max="6145" width="6.7109375" style="1" customWidth="1"/>
    <col min="6146" max="6146" width="49.85546875" style="1" customWidth="1"/>
    <col min="6147" max="6149" width="14.7109375" style="1" customWidth="1"/>
    <col min="6150" max="6150" width="17" style="1" customWidth="1"/>
    <col min="6151" max="6154" width="14.7109375" style="1" customWidth="1"/>
    <col min="6155" max="6155" width="16.7109375" style="1" customWidth="1"/>
    <col min="6156" max="6156" width="6.85546875" style="1" customWidth="1"/>
    <col min="6157" max="6157" width="7.42578125" style="1" customWidth="1"/>
    <col min="6158" max="6400" width="9.140625" style="1"/>
    <col min="6401" max="6401" width="6.7109375" style="1" customWidth="1"/>
    <col min="6402" max="6402" width="49.85546875" style="1" customWidth="1"/>
    <col min="6403" max="6405" width="14.7109375" style="1" customWidth="1"/>
    <col min="6406" max="6406" width="17" style="1" customWidth="1"/>
    <col min="6407" max="6410" width="14.7109375" style="1" customWidth="1"/>
    <col min="6411" max="6411" width="16.7109375" style="1" customWidth="1"/>
    <col min="6412" max="6412" width="6.85546875" style="1" customWidth="1"/>
    <col min="6413" max="6413" width="7.42578125" style="1" customWidth="1"/>
    <col min="6414" max="6656" width="9.140625" style="1"/>
    <col min="6657" max="6657" width="6.7109375" style="1" customWidth="1"/>
    <col min="6658" max="6658" width="49.85546875" style="1" customWidth="1"/>
    <col min="6659" max="6661" width="14.7109375" style="1" customWidth="1"/>
    <col min="6662" max="6662" width="17" style="1" customWidth="1"/>
    <col min="6663" max="6666" width="14.7109375" style="1" customWidth="1"/>
    <col min="6667" max="6667" width="16.7109375" style="1" customWidth="1"/>
    <col min="6668" max="6668" width="6.85546875" style="1" customWidth="1"/>
    <col min="6669" max="6669" width="7.42578125" style="1" customWidth="1"/>
    <col min="6670" max="6912" width="9.140625" style="1"/>
    <col min="6913" max="6913" width="6.7109375" style="1" customWidth="1"/>
    <col min="6914" max="6914" width="49.85546875" style="1" customWidth="1"/>
    <col min="6915" max="6917" width="14.7109375" style="1" customWidth="1"/>
    <col min="6918" max="6918" width="17" style="1" customWidth="1"/>
    <col min="6919" max="6922" width="14.7109375" style="1" customWidth="1"/>
    <col min="6923" max="6923" width="16.7109375" style="1" customWidth="1"/>
    <col min="6924" max="6924" width="6.85546875" style="1" customWidth="1"/>
    <col min="6925" max="6925" width="7.42578125" style="1" customWidth="1"/>
    <col min="6926" max="7168" width="9.140625" style="1"/>
    <col min="7169" max="7169" width="6.7109375" style="1" customWidth="1"/>
    <col min="7170" max="7170" width="49.85546875" style="1" customWidth="1"/>
    <col min="7171" max="7173" width="14.7109375" style="1" customWidth="1"/>
    <col min="7174" max="7174" width="17" style="1" customWidth="1"/>
    <col min="7175" max="7178" width="14.7109375" style="1" customWidth="1"/>
    <col min="7179" max="7179" width="16.7109375" style="1" customWidth="1"/>
    <col min="7180" max="7180" width="6.85546875" style="1" customWidth="1"/>
    <col min="7181" max="7181" width="7.42578125" style="1" customWidth="1"/>
    <col min="7182" max="7424" width="9.140625" style="1"/>
    <col min="7425" max="7425" width="6.7109375" style="1" customWidth="1"/>
    <col min="7426" max="7426" width="49.85546875" style="1" customWidth="1"/>
    <col min="7427" max="7429" width="14.7109375" style="1" customWidth="1"/>
    <col min="7430" max="7430" width="17" style="1" customWidth="1"/>
    <col min="7431" max="7434" width="14.7109375" style="1" customWidth="1"/>
    <col min="7435" max="7435" width="16.7109375" style="1" customWidth="1"/>
    <col min="7436" max="7436" width="6.85546875" style="1" customWidth="1"/>
    <col min="7437" max="7437" width="7.42578125" style="1" customWidth="1"/>
    <col min="7438" max="7680" width="9.140625" style="1"/>
    <col min="7681" max="7681" width="6.7109375" style="1" customWidth="1"/>
    <col min="7682" max="7682" width="49.85546875" style="1" customWidth="1"/>
    <col min="7683" max="7685" width="14.7109375" style="1" customWidth="1"/>
    <col min="7686" max="7686" width="17" style="1" customWidth="1"/>
    <col min="7687" max="7690" width="14.7109375" style="1" customWidth="1"/>
    <col min="7691" max="7691" width="16.7109375" style="1" customWidth="1"/>
    <col min="7692" max="7692" width="6.85546875" style="1" customWidth="1"/>
    <col min="7693" max="7693" width="7.42578125" style="1" customWidth="1"/>
    <col min="7694" max="7936" width="9.140625" style="1"/>
    <col min="7937" max="7937" width="6.7109375" style="1" customWidth="1"/>
    <col min="7938" max="7938" width="49.85546875" style="1" customWidth="1"/>
    <col min="7939" max="7941" width="14.7109375" style="1" customWidth="1"/>
    <col min="7942" max="7942" width="17" style="1" customWidth="1"/>
    <col min="7943" max="7946" width="14.7109375" style="1" customWidth="1"/>
    <col min="7947" max="7947" width="16.7109375" style="1" customWidth="1"/>
    <col min="7948" max="7948" width="6.85546875" style="1" customWidth="1"/>
    <col min="7949" max="7949" width="7.42578125" style="1" customWidth="1"/>
    <col min="7950" max="8192" width="9.140625" style="1"/>
    <col min="8193" max="8193" width="6.7109375" style="1" customWidth="1"/>
    <col min="8194" max="8194" width="49.85546875" style="1" customWidth="1"/>
    <col min="8195" max="8197" width="14.7109375" style="1" customWidth="1"/>
    <col min="8198" max="8198" width="17" style="1" customWidth="1"/>
    <col min="8199" max="8202" width="14.7109375" style="1" customWidth="1"/>
    <col min="8203" max="8203" width="16.7109375" style="1" customWidth="1"/>
    <col min="8204" max="8204" width="6.85546875" style="1" customWidth="1"/>
    <col min="8205" max="8205" width="7.42578125" style="1" customWidth="1"/>
    <col min="8206" max="8448" width="9.140625" style="1"/>
    <col min="8449" max="8449" width="6.7109375" style="1" customWidth="1"/>
    <col min="8450" max="8450" width="49.85546875" style="1" customWidth="1"/>
    <col min="8451" max="8453" width="14.7109375" style="1" customWidth="1"/>
    <col min="8454" max="8454" width="17" style="1" customWidth="1"/>
    <col min="8455" max="8458" width="14.7109375" style="1" customWidth="1"/>
    <col min="8459" max="8459" width="16.7109375" style="1" customWidth="1"/>
    <col min="8460" max="8460" width="6.85546875" style="1" customWidth="1"/>
    <col min="8461" max="8461" width="7.42578125" style="1" customWidth="1"/>
    <col min="8462" max="8704" width="9.140625" style="1"/>
    <col min="8705" max="8705" width="6.7109375" style="1" customWidth="1"/>
    <col min="8706" max="8706" width="49.85546875" style="1" customWidth="1"/>
    <col min="8707" max="8709" width="14.7109375" style="1" customWidth="1"/>
    <col min="8710" max="8710" width="17" style="1" customWidth="1"/>
    <col min="8711" max="8714" width="14.7109375" style="1" customWidth="1"/>
    <col min="8715" max="8715" width="16.7109375" style="1" customWidth="1"/>
    <col min="8716" max="8716" width="6.85546875" style="1" customWidth="1"/>
    <col min="8717" max="8717" width="7.42578125" style="1" customWidth="1"/>
    <col min="8718" max="8960" width="9.140625" style="1"/>
    <col min="8961" max="8961" width="6.7109375" style="1" customWidth="1"/>
    <col min="8962" max="8962" width="49.85546875" style="1" customWidth="1"/>
    <col min="8963" max="8965" width="14.7109375" style="1" customWidth="1"/>
    <col min="8966" max="8966" width="17" style="1" customWidth="1"/>
    <col min="8967" max="8970" width="14.7109375" style="1" customWidth="1"/>
    <col min="8971" max="8971" width="16.7109375" style="1" customWidth="1"/>
    <col min="8972" max="8972" width="6.85546875" style="1" customWidth="1"/>
    <col min="8973" max="8973" width="7.42578125" style="1" customWidth="1"/>
    <col min="8974" max="9216" width="9.140625" style="1"/>
    <col min="9217" max="9217" width="6.7109375" style="1" customWidth="1"/>
    <col min="9218" max="9218" width="49.85546875" style="1" customWidth="1"/>
    <col min="9219" max="9221" width="14.7109375" style="1" customWidth="1"/>
    <col min="9222" max="9222" width="17" style="1" customWidth="1"/>
    <col min="9223" max="9226" width="14.7109375" style="1" customWidth="1"/>
    <col min="9227" max="9227" width="16.7109375" style="1" customWidth="1"/>
    <col min="9228" max="9228" width="6.85546875" style="1" customWidth="1"/>
    <col min="9229" max="9229" width="7.42578125" style="1" customWidth="1"/>
    <col min="9230" max="9472" width="9.140625" style="1"/>
    <col min="9473" max="9473" width="6.7109375" style="1" customWidth="1"/>
    <col min="9474" max="9474" width="49.85546875" style="1" customWidth="1"/>
    <col min="9475" max="9477" width="14.7109375" style="1" customWidth="1"/>
    <col min="9478" max="9478" width="17" style="1" customWidth="1"/>
    <col min="9479" max="9482" width="14.7109375" style="1" customWidth="1"/>
    <col min="9483" max="9483" width="16.7109375" style="1" customWidth="1"/>
    <col min="9484" max="9484" width="6.85546875" style="1" customWidth="1"/>
    <col min="9485" max="9485" width="7.42578125" style="1" customWidth="1"/>
    <col min="9486" max="9728" width="9.140625" style="1"/>
    <col min="9729" max="9729" width="6.7109375" style="1" customWidth="1"/>
    <col min="9730" max="9730" width="49.85546875" style="1" customWidth="1"/>
    <col min="9731" max="9733" width="14.7109375" style="1" customWidth="1"/>
    <col min="9734" max="9734" width="17" style="1" customWidth="1"/>
    <col min="9735" max="9738" width="14.7109375" style="1" customWidth="1"/>
    <col min="9739" max="9739" width="16.7109375" style="1" customWidth="1"/>
    <col min="9740" max="9740" width="6.85546875" style="1" customWidth="1"/>
    <col min="9741" max="9741" width="7.42578125" style="1" customWidth="1"/>
    <col min="9742" max="9984" width="9.140625" style="1"/>
    <col min="9985" max="9985" width="6.7109375" style="1" customWidth="1"/>
    <col min="9986" max="9986" width="49.85546875" style="1" customWidth="1"/>
    <col min="9987" max="9989" width="14.7109375" style="1" customWidth="1"/>
    <col min="9990" max="9990" width="17" style="1" customWidth="1"/>
    <col min="9991" max="9994" width="14.7109375" style="1" customWidth="1"/>
    <col min="9995" max="9995" width="16.7109375" style="1" customWidth="1"/>
    <col min="9996" max="9996" width="6.85546875" style="1" customWidth="1"/>
    <col min="9997" max="9997" width="7.42578125" style="1" customWidth="1"/>
    <col min="9998" max="10240" width="9.140625" style="1"/>
    <col min="10241" max="10241" width="6.7109375" style="1" customWidth="1"/>
    <col min="10242" max="10242" width="49.85546875" style="1" customWidth="1"/>
    <col min="10243" max="10245" width="14.7109375" style="1" customWidth="1"/>
    <col min="10246" max="10246" width="17" style="1" customWidth="1"/>
    <col min="10247" max="10250" width="14.7109375" style="1" customWidth="1"/>
    <col min="10251" max="10251" width="16.7109375" style="1" customWidth="1"/>
    <col min="10252" max="10252" width="6.85546875" style="1" customWidth="1"/>
    <col min="10253" max="10253" width="7.42578125" style="1" customWidth="1"/>
    <col min="10254" max="10496" width="9.140625" style="1"/>
    <col min="10497" max="10497" width="6.7109375" style="1" customWidth="1"/>
    <col min="10498" max="10498" width="49.85546875" style="1" customWidth="1"/>
    <col min="10499" max="10501" width="14.7109375" style="1" customWidth="1"/>
    <col min="10502" max="10502" width="17" style="1" customWidth="1"/>
    <col min="10503" max="10506" width="14.7109375" style="1" customWidth="1"/>
    <col min="10507" max="10507" width="16.7109375" style="1" customWidth="1"/>
    <col min="10508" max="10508" width="6.85546875" style="1" customWidth="1"/>
    <col min="10509" max="10509" width="7.42578125" style="1" customWidth="1"/>
    <col min="10510" max="10752" width="9.140625" style="1"/>
    <col min="10753" max="10753" width="6.7109375" style="1" customWidth="1"/>
    <col min="10754" max="10754" width="49.85546875" style="1" customWidth="1"/>
    <col min="10755" max="10757" width="14.7109375" style="1" customWidth="1"/>
    <col min="10758" max="10758" width="17" style="1" customWidth="1"/>
    <col min="10759" max="10762" width="14.7109375" style="1" customWidth="1"/>
    <col min="10763" max="10763" width="16.7109375" style="1" customWidth="1"/>
    <col min="10764" max="10764" width="6.85546875" style="1" customWidth="1"/>
    <col min="10765" max="10765" width="7.42578125" style="1" customWidth="1"/>
    <col min="10766" max="11008" width="9.140625" style="1"/>
    <col min="11009" max="11009" width="6.7109375" style="1" customWidth="1"/>
    <col min="11010" max="11010" width="49.85546875" style="1" customWidth="1"/>
    <col min="11011" max="11013" width="14.7109375" style="1" customWidth="1"/>
    <col min="11014" max="11014" width="17" style="1" customWidth="1"/>
    <col min="11015" max="11018" width="14.7109375" style="1" customWidth="1"/>
    <col min="11019" max="11019" width="16.7109375" style="1" customWidth="1"/>
    <col min="11020" max="11020" width="6.85546875" style="1" customWidth="1"/>
    <col min="11021" max="11021" width="7.42578125" style="1" customWidth="1"/>
    <col min="11022" max="11264" width="9.140625" style="1"/>
    <col min="11265" max="11265" width="6.7109375" style="1" customWidth="1"/>
    <col min="11266" max="11266" width="49.85546875" style="1" customWidth="1"/>
    <col min="11267" max="11269" width="14.7109375" style="1" customWidth="1"/>
    <col min="11270" max="11270" width="17" style="1" customWidth="1"/>
    <col min="11271" max="11274" width="14.7109375" style="1" customWidth="1"/>
    <col min="11275" max="11275" width="16.7109375" style="1" customWidth="1"/>
    <col min="11276" max="11276" width="6.85546875" style="1" customWidth="1"/>
    <col min="11277" max="11277" width="7.42578125" style="1" customWidth="1"/>
    <col min="11278" max="11520" width="9.140625" style="1"/>
    <col min="11521" max="11521" width="6.7109375" style="1" customWidth="1"/>
    <col min="11522" max="11522" width="49.85546875" style="1" customWidth="1"/>
    <col min="11523" max="11525" width="14.7109375" style="1" customWidth="1"/>
    <col min="11526" max="11526" width="17" style="1" customWidth="1"/>
    <col min="11527" max="11530" width="14.7109375" style="1" customWidth="1"/>
    <col min="11531" max="11531" width="16.7109375" style="1" customWidth="1"/>
    <col min="11532" max="11532" width="6.85546875" style="1" customWidth="1"/>
    <col min="11533" max="11533" width="7.42578125" style="1" customWidth="1"/>
    <col min="11534" max="11776" width="9.140625" style="1"/>
    <col min="11777" max="11777" width="6.7109375" style="1" customWidth="1"/>
    <col min="11778" max="11778" width="49.85546875" style="1" customWidth="1"/>
    <col min="11779" max="11781" width="14.7109375" style="1" customWidth="1"/>
    <col min="11782" max="11782" width="17" style="1" customWidth="1"/>
    <col min="11783" max="11786" width="14.7109375" style="1" customWidth="1"/>
    <col min="11787" max="11787" width="16.7109375" style="1" customWidth="1"/>
    <col min="11788" max="11788" width="6.85546875" style="1" customWidth="1"/>
    <col min="11789" max="11789" width="7.42578125" style="1" customWidth="1"/>
    <col min="11790" max="12032" width="9.140625" style="1"/>
    <col min="12033" max="12033" width="6.7109375" style="1" customWidth="1"/>
    <col min="12034" max="12034" width="49.85546875" style="1" customWidth="1"/>
    <col min="12035" max="12037" width="14.7109375" style="1" customWidth="1"/>
    <col min="12038" max="12038" width="17" style="1" customWidth="1"/>
    <col min="12039" max="12042" width="14.7109375" style="1" customWidth="1"/>
    <col min="12043" max="12043" width="16.7109375" style="1" customWidth="1"/>
    <col min="12044" max="12044" width="6.85546875" style="1" customWidth="1"/>
    <col min="12045" max="12045" width="7.42578125" style="1" customWidth="1"/>
    <col min="12046" max="12288" width="9.140625" style="1"/>
    <col min="12289" max="12289" width="6.7109375" style="1" customWidth="1"/>
    <col min="12290" max="12290" width="49.85546875" style="1" customWidth="1"/>
    <col min="12291" max="12293" width="14.7109375" style="1" customWidth="1"/>
    <col min="12294" max="12294" width="17" style="1" customWidth="1"/>
    <col min="12295" max="12298" width="14.7109375" style="1" customWidth="1"/>
    <col min="12299" max="12299" width="16.7109375" style="1" customWidth="1"/>
    <col min="12300" max="12300" width="6.85546875" style="1" customWidth="1"/>
    <col min="12301" max="12301" width="7.42578125" style="1" customWidth="1"/>
    <col min="12302" max="12544" width="9.140625" style="1"/>
    <col min="12545" max="12545" width="6.7109375" style="1" customWidth="1"/>
    <col min="12546" max="12546" width="49.85546875" style="1" customWidth="1"/>
    <col min="12547" max="12549" width="14.7109375" style="1" customWidth="1"/>
    <col min="12550" max="12550" width="17" style="1" customWidth="1"/>
    <col min="12551" max="12554" width="14.7109375" style="1" customWidth="1"/>
    <col min="12555" max="12555" width="16.7109375" style="1" customWidth="1"/>
    <col min="12556" max="12556" width="6.85546875" style="1" customWidth="1"/>
    <col min="12557" max="12557" width="7.42578125" style="1" customWidth="1"/>
    <col min="12558" max="12800" width="9.140625" style="1"/>
    <col min="12801" max="12801" width="6.7109375" style="1" customWidth="1"/>
    <col min="12802" max="12802" width="49.85546875" style="1" customWidth="1"/>
    <col min="12803" max="12805" width="14.7109375" style="1" customWidth="1"/>
    <col min="12806" max="12806" width="17" style="1" customWidth="1"/>
    <col min="12807" max="12810" width="14.7109375" style="1" customWidth="1"/>
    <col min="12811" max="12811" width="16.7109375" style="1" customWidth="1"/>
    <col min="12812" max="12812" width="6.85546875" style="1" customWidth="1"/>
    <col min="12813" max="12813" width="7.42578125" style="1" customWidth="1"/>
    <col min="12814" max="13056" width="9.140625" style="1"/>
    <col min="13057" max="13057" width="6.7109375" style="1" customWidth="1"/>
    <col min="13058" max="13058" width="49.85546875" style="1" customWidth="1"/>
    <col min="13059" max="13061" width="14.7109375" style="1" customWidth="1"/>
    <col min="13062" max="13062" width="17" style="1" customWidth="1"/>
    <col min="13063" max="13066" width="14.7109375" style="1" customWidth="1"/>
    <col min="13067" max="13067" width="16.7109375" style="1" customWidth="1"/>
    <col min="13068" max="13068" width="6.85546875" style="1" customWidth="1"/>
    <col min="13069" max="13069" width="7.42578125" style="1" customWidth="1"/>
    <col min="13070" max="13312" width="9.140625" style="1"/>
    <col min="13313" max="13313" width="6.7109375" style="1" customWidth="1"/>
    <col min="13314" max="13314" width="49.85546875" style="1" customWidth="1"/>
    <col min="13315" max="13317" width="14.7109375" style="1" customWidth="1"/>
    <col min="13318" max="13318" width="17" style="1" customWidth="1"/>
    <col min="13319" max="13322" width="14.7109375" style="1" customWidth="1"/>
    <col min="13323" max="13323" width="16.7109375" style="1" customWidth="1"/>
    <col min="13324" max="13324" width="6.85546875" style="1" customWidth="1"/>
    <col min="13325" max="13325" width="7.42578125" style="1" customWidth="1"/>
    <col min="13326" max="13568" width="9.140625" style="1"/>
    <col min="13569" max="13569" width="6.7109375" style="1" customWidth="1"/>
    <col min="13570" max="13570" width="49.85546875" style="1" customWidth="1"/>
    <col min="13571" max="13573" width="14.7109375" style="1" customWidth="1"/>
    <col min="13574" max="13574" width="17" style="1" customWidth="1"/>
    <col min="13575" max="13578" width="14.7109375" style="1" customWidth="1"/>
    <col min="13579" max="13579" width="16.7109375" style="1" customWidth="1"/>
    <col min="13580" max="13580" width="6.85546875" style="1" customWidth="1"/>
    <col min="13581" max="13581" width="7.42578125" style="1" customWidth="1"/>
    <col min="13582" max="13824" width="9.140625" style="1"/>
    <col min="13825" max="13825" width="6.7109375" style="1" customWidth="1"/>
    <col min="13826" max="13826" width="49.85546875" style="1" customWidth="1"/>
    <col min="13827" max="13829" width="14.7109375" style="1" customWidth="1"/>
    <col min="13830" max="13830" width="17" style="1" customWidth="1"/>
    <col min="13831" max="13834" width="14.7109375" style="1" customWidth="1"/>
    <col min="13835" max="13835" width="16.7109375" style="1" customWidth="1"/>
    <col min="13836" max="13836" width="6.85546875" style="1" customWidth="1"/>
    <col min="13837" max="13837" width="7.42578125" style="1" customWidth="1"/>
    <col min="13838" max="14080" width="9.140625" style="1"/>
    <col min="14081" max="14081" width="6.7109375" style="1" customWidth="1"/>
    <col min="14082" max="14082" width="49.85546875" style="1" customWidth="1"/>
    <col min="14083" max="14085" width="14.7109375" style="1" customWidth="1"/>
    <col min="14086" max="14086" width="17" style="1" customWidth="1"/>
    <col min="14087" max="14090" width="14.7109375" style="1" customWidth="1"/>
    <col min="14091" max="14091" width="16.7109375" style="1" customWidth="1"/>
    <col min="14092" max="14092" width="6.85546875" style="1" customWidth="1"/>
    <col min="14093" max="14093" width="7.42578125" style="1" customWidth="1"/>
    <col min="14094" max="14336" width="9.140625" style="1"/>
    <col min="14337" max="14337" width="6.7109375" style="1" customWidth="1"/>
    <col min="14338" max="14338" width="49.85546875" style="1" customWidth="1"/>
    <col min="14339" max="14341" width="14.7109375" style="1" customWidth="1"/>
    <col min="14342" max="14342" width="17" style="1" customWidth="1"/>
    <col min="14343" max="14346" width="14.7109375" style="1" customWidth="1"/>
    <col min="14347" max="14347" width="16.7109375" style="1" customWidth="1"/>
    <col min="14348" max="14348" width="6.85546875" style="1" customWidth="1"/>
    <col min="14349" max="14349" width="7.42578125" style="1" customWidth="1"/>
    <col min="14350" max="14592" width="9.140625" style="1"/>
    <col min="14593" max="14593" width="6.7109375" style="1" customWidth="1"/>
    <col min="14594" max="14594" width="49.85546875" style="1" customWidth="1"/>
    <col min="14595" max="14597" width="14.7109375" style="1" customWidth="1"/>
    <col min="14598" max="14598" width="17" style="1" customWidth="1"/>
    <col min="14599" max="14602" width="14.7109375" style="1" customWidth="1"/>
    <col min="14603" max="14603" width="16.7109375" style="1" customWidth="1"/>
    <col min="14604" max="14604" width="6.85546875" style="1" customWidth="1"/>
    <col min="14605" max="14605" width="7.42578125" style="1" customWidth="1"/>
    <col min="14606" max="14848" width="9.140625" style="1"/>
    <col min="14849" max="14849" width="6.7109375" style="1" customWidth="1"/>
    <col min="14850" max="14850" width="49.85546875" style="1" customWidth="1"/>
    <col min="14851" max="14853" width="14.7109375" style="1" customWidth="1"/>
    <col min="14854" max="14854" width="17" style="1" customWidth="1"/>
    <col min="14855" max="14858" width="14.7109375" style="1" customWidth="1"/>
    <col min="14859" max="14859" width="16.7109375" style="1" customWidth="1"/>
    <col min="14860" max="14860" width="6.85546875" style="1" customWidth="1"/>
    <col min="14861" max="14861" width="7.42578125" style="1" customWidth="1"/>
    <col min="14862" max="15104" width="9.140625" style="1"/>
    <col min="15105" max="15105" width="6.7109375" style="1" customWidth="1"/>
    <col min="15106" max="15106" width="49.85546875" style="1" customWidth="1"/>
    <col min="15107" max="15109" width="14.7109375" style="1" customWidth="1"/>
    <col min="15110" max="15110" width="17" style="1" customWidth="1"/>
    <col min="15111" max="15114" width="14.7109375" style="1" customWidth="1"/>
    <col min="15115" max="15115" width="16.7109375" style="1" customWidth="1"/>
    <col min="15116" max="15116" width="6.85546875" style="1" customWidth="1"/>
    <col min="15117" max="15117" width="7.42578125" style="1" customWidth="1"/>
    <col min="15118" max="15360" width="9.140625" style="1"/>
    <col min="15361" max="15361" width="6.7109375" style="1" customWidth="1"/>
    <col min="15362" max="15362" width="49.85546875" style="1" customWidth="1"/>
    <col min="15363" max="15365" width="14.7109375" style="1" customWidth="1"/>
    <col min="15366" max="15366" width="17" style="1" customWidth="1"/>
    <col min="15367" max="15370" width="14.7109375" style="1" customWidth="1"/>
    <col min="15371" max="15371" width="16.7109375" style="1" customWidth="1"/>
    <col min="15372" max="15372" width="6.85546875" style="1" customWidth="1"/>
    <col min="15373" max="15373" width="7.42578125" style="1" customWidth="1"/>
    <col min="15374" max="15616" width="9.140625" style="1"/>
    <col min="15617" max="15617" width="6.7109375" style="1" customWidth="1"/>
    <col min="15618" max="15618" width="49.85546875" style="1" customWidth="1"/>
    <col min="15619" max="15621" width="14.7109375" style="1" customWidth="1"/>
    <col min="15622" max="15622" width="17" style="1" customWidth="1"/>
    <col min="15623" max="15626" width="14.7109375" style="1" customWidth="1"/>
    <col min="15627" max="15627" width="16.7109375" style="1" customWidth="1"/>
    <col min="15628" max="15628" width="6.85546875" style="1" customWidth="1"/>
    <col min="15629" max="15629" width="7.42578125" style="1" customWidth="1"/>
    <col min="15630" max="15872" width="9.140625" style="1"/>
    <col min="15873" max="15873" width="6.7109375" style="1" customWidth="1"/>
    <col min="15874" max="15874" width="49.85546875" style="1" customWidth="1"/>
    <col min="15875" max="15877" width="14.7109375" style="1" customWidth="1"/>
    <col min="15878" max="15878" width="17" style="1" customWidth="1"/>
    <col min="15879" max="15882" width="14.7109375" style="1" customWidth="1"/>
    <col min="15883" max="15883" width="16.7109375" style="1" customWidth="1"/>
    <col min="15884" max="15884" width="6.85546875" style="1" customWidth="1"/>
    <col min="15885" max="15885" width="7.42578125" style="1" customWidth="1"/>
    <col min="15886" max="16128" width="9.140625" style="1"/>
    <col min="16129" max="16129" width="6.7109375" style="1" customWidth="1"/>
    <col min="16130" max="16130" width="49.85546875" style="1" customWidth="1"/>
    <col min="16131" max="16133" width="14.7109375" style="1" customWidth="1"/>
    <col min="16134" max="16134" width="17" style="1" customWidth="1"/>
    <col min="16135" max="16138" width="14.7109375" style="1" customWidth="1"/>
    <col min="16139" max="16139" width="16.7109375" style="1" customWidth="1"/>
    <col min="16140" max="16140" width="6.85546875" style="1" customWidth="1"/>
    <col min="16141" max="16141" width="7.42578125" style="1" customWidth="1"/>
    <col min="16142" max="16384" width="9.140625" style="1"/>
  </cols>
  <sheetData>
    <row r="1" spans="1:14" ht="15" x14ac:dyDescent="0.25">
      <c r="M1" s="6"/>
    </row>
    <row r="2" spans="1:14" ht="20.100000000000001" customHeight="1" x14ac:dyDescent="0.35">
      <c r="A2" s="1284" t="s">
        <v>570</v>
      </c>
      <c r="B2" s="1284"/>
      <c r="C2" s="1284"/>
      <c r="D2" s="1284"/>
      <c r="E2" s="1284"/>
      <c r="F2" s="1284"/>
      <c r="G2" s="1284"/>
      <c r="H2" s="1284"/>
      <c r="I2" s="1284"/>
      <c r="J2" s="1284"/>
      <c r="K2" s="1284"/>
      <c r="L2" s="1284"/>
      <c r="M2" s="1284"/>
      <c r="N2" s="29"/>
    </row>
    <row r="3" spans="1:14" ht="15" customHeight="1" x14ac:dyDescent="0.2"/>
    <row r="4" spans="1:14" ht="20.100000000000001" customHeight="1" x14ac:dyDescent="0.3">
      <c r="A4" s="100" t="s">
        <v>243</v>
      </c>
      <c r="B4" s="7"/>
      <c r="L4" s="8"/>
    </row>
    <row r="5" spans="1:14" ht="15" customHeight="1" thickBot="1" x14ac:dyDescent="0.35">
      <c r="A5" s="7"/>
      <c r="M5" s="8" t="s">
        <v>0</v>
      </c>
    </row>
    <row r="6" spans="1:14" s="62" customFormat="1" ht="15.95" customHeight="1" x14ac:dyDescent="0.15">
      <c r="A6" s="1286" t="s">
        <v>88</v>
      </c>
      <c r="B6" s="1298" t="s">
        <v>103</v>
      </c>
      <c r="C6" s="1288" t="s">
        <v>283</v>
      </c>
      <c r="D6" s="1289"/>
      <c r="E6" s="1288" t="s">
        <v>390</v>
      </c>
      <c r="F6" s="1290"/>
      <c r="G6" s="1289"/>
      <c r="H6" s="1291" t="s">
        <v>484</v>
      </c>
      <c r="I6" s="1292"/>
      <c r="J6" s="1292"/>
      <c r="K6" s="1293"/>
      <c r="L6" s="1294" t="s">
        <v>485</v>
      </c>
      <c r="M6" s="1296" t="s">
        <v>489</v>
      </c>
    </row>
    <row r="7" spans="1:14" s="62" customFormat="1" ht="27" customHeight="1" thickBot="1" x14ac:dyDescent="0.2">
      <c r="A7" s="1287"/>
      <c r="B7" s="1300"/>
      <c r="C7" s="179" t="s">
        <v>108</v>
      </c>
      <c r="D7" s="180" t="s">
        <v>127</v>
      </c>
      <c r="E7" s="267" t="s">
        <v>109</v>
      </c>
      <c r="F7" s="268" t="s">
        <v>586</v>
      </c>
      <c r="G7" s="269" t="s">
        <v>587</v>
      </c>
      <c r="H7" s="892" t="s">
        <v>125</v>
      </c>
      <c r="I7" s="893" t="s">
        <v>126</v>
      </c>
      <c r="J7" s="894" t="s">
        <v>331</v>
      </c>
      <c r="K7" s="889" t="s">
        <v>85</v>
      </c>
      <c r="L7" s="1295"/>
      <c r="M7" s="1297"/>
    </row>
    <row r="8" spans="1:14" s="9" customFormat="1" ht="20.100000000000001" customHeight="1" thickBot="1" x14ac:dyDescent="0.3">
      <c r="B8" s="10" t="s">
        <v>104</v>
      </c>
      <c r="C8" s="11"/>
      <c r="D8" s="12"/>
      <c r="E8" s="11"/>
      <c r="F8" s="13"/>
      <c r="G8" s="13"/>
      <c r="H8" s="13"/>
      <c r="I8" s="13"/>
      <c r="J8" s="13"/>
      <c r="K8" s="271"/>
      <c r="L8" s="16"/>
      <c r="M8" s="16"/>
    </row>
    <row r="9" spans="1:14" s="19" customFormat="1" ht="20.100000000000001" customHeight="1" x14ac:dyDescent="0.25">
      <c r="A9" s="561">
        <v>2212</v>
      </c>
      <c r="B9" s="626" t="s">
        <v>112</v>
      </c>
      <c r="C9" s="562">
        <v>200</v>
      </c>
      <c r="D9" s="563">
        <v>64.52</v>
      </c>
      <c r="E9" s="564">
        <v>150</v>
      </c>
      <c r="F9" s="565">
        <v>150</v>
      </c>
      <c r="G9" s="566">
        <v>33.35</v>
      </c>
      <c r="H9" s="562">
        <v>100</v>
      </c>
      <c r="I9" s="1085">
        <v>30</v>
      </c>
      <c r="J9" s="1089">
        <v>20</v>
      </c>
      <c r="K9" s="904">
        <f>SUM(H9:J9)</f>
        <v>150</v>
      </c>
      <c r="L9" s="458">
        <f t="shared" ref="L9:L12" si="0">K9/E9*100</f>
        <v>100</v>
      </c>
      <c r="M9" s="459">
        <f t="shared" ref="M9:M12" si="1">K9/F9*100</f>
        <v>100</v>
      </c>
      <c r="N9" s="18"/>
    </row>
    <row r="10" spans="1:14" s="19" customFormat="1" ht="20.100000000000001" customHeight="1" x14ac:dyDescent="0.25">
      <c r="A10" s="567">
        <v>3121</v>
      </c>
      <c r="B10" s="625" t="s">
        <v>116</v>
      </c>
      <c r="C10" s="494">
        <v>100</v>
      </c>
      <c r="D10" s="495">
        <v>0</v>
      </c>
      <c r="E10" s="519">
        <v>80</v>
      </c>
      <c r="F10" s="496">
        <v>80</v>
      </c>
      <c r="G10" s="497">
        <v>0</v>
      </c>
      <c r="H10" s="494">
        <v>50</v>
      </c>
      <c r="I10" s="1082">
        <v>20</v>
      </c>
      <c r="J10" s="1090">
        <v>10</v>
      </c>
      <c r="K10" s="1065">
        <f t="shared" ref="K10:K16" si="2">SUM(H10:J10)</f>
        <v>80</v>
      </c>
      <c r="L10" s="468">
        <f t="shared" si="0"/>
        <v>100</v>
      </c>
      <c r="M10" s="469">
        <f t="shared" si="1"/>
        <v>100</v>
      </c>
      <c r="N10" s="18"/>
    </row>
    <row r="11" spans="1:14" s="19" customFormat="1" ht="20.100000000000001" customHeight="1" x14ac:dyDescent="0.25">
      <c r="A11" s="567">
        <v>3122</v>
      </c>
      <c r="B11" s="625" t="s">
        <v>117</v>
      </c>
      <c r="C11" s="494">
        <v>80</v>
      </c>
      <c r="D11" s="495">
        <v>0</v>
      </c>
      <c r="E11" s="519">
        <v>80</v>
      </c>
      <c r="F11" s="496">
        <v>80</v>
      </c>
      <c r="G11" s="497">
        <v>0</v>
      </c>
      <c r="H11" s="494">
        <v>50</v>
      </c>
      <c r="I11" s="1082">
        <v>20</v>
      </c>
      <c r="J11" s="1090">
        <v>10</v>
      </c>
      <c r="K11" s="1065">
        <f t="shared" si="2"/>
        <v>80</v>
      </c>
      <c r="L11" s="468">
        <f t="shared" si="0"/>
        <v>100</v>
      </c>
      <c r="M11" s="469">
        <f t="shared" si="1"/>
        <v>100</v>
      </c>
      <c r="N11" s="18"/>
    </row>
    <row r="12" spans="1:14" s="19" customFormat="1" ht="30" customHeight="1" x14ac:dyDescent="0.25">
      <c r="A12" s="567">
        <v>3123</v>
      </c>
      <c r="B12" s="625" t="s">
        <v>131</v>
      </c>
      <c r="C12" s="494">
        <v>80</v>
      </c>
      <c r="D12" s="495">
        <v>0</v>
      </c>
      <c r="E12" s="519">
        <v>80</v>
      </c>
      <c r="F12" s="496">
        <v>80</v>
      </c>
      <c r="G12" s="497">
        <v>0</v>
      </c>
      <c r="H12" s="494">
        <v>50</v>
      </c>
      <c r="I12" s="1082">
        <v>20</v>
      </c>
      <c r="J12" s="1090">
        <v>10</v>
      </c>
      <c r="K12" s="1065">
        <f t="shared" si="2"/>
        <v>80</v>
      </c>
      <c r="L12" s="468">
        <f t="shared" si="0"/>
        <v>100</v>
      </c>
      <c r="M12" s="469">
        <f t="shared" si="1"/>
        <v>100</v>
      </c>
      <c r="N12" s="18"/>
    </row>
    <row r="13" spans="1:14" s="19" customFormat="1" ht="20.100000000000001" customHeight="1" x14ac:dyDescent="0.25">
      <c r="A13" s="567">
        <v>3315</v>
      </c>
      <c r="B13" s="625" t="s">
        <v>358</v>
      </c>
      <c r="C13" s="494">
        <v>80</v>
      </c>
      <c r="D13" s="495">
        <v>0</v>
      </c>
      <c r="E13" s="519">
        <v>80</v>
      </c>
      <c r="F13" s="496">
        <v>80</v>
      </c>
      <c r="G13" s="497">
        <v>0</v>
      </c>
      <c r="H13" s="494">
        <v>50</v>
      </c>
      <c r="I13" s="1082">
        <v>20</v>
      </c>
      <c r="J13" s="1090">
        <v>10</v>
      </c>
      <c r="K13" s="1065">
        <f t="shared" si="2"/>
        <v>80</v>
      </c>
      <c r="L13" s="468">
        <f t="shared" ref="L13" si="3">K13/E13*100</f>
        <v>100</v>
      </c>
      <c r="M13" s="469">
        <f t="shared" ref="M13" si="4">K13/F13*100</f>
        <v>100</v>
      </c>
      <c r="N13" s="18"/>
    </row>
    <row r="14" spans="1:14" s="19" customFormat="1" ht="20.100000000000001" customHeight="1" x14ac:dyDescent="0.25">
      <c r="A14" s="567">
        <v>4350</v>
      </c>
      <c r="B14" s="625" t="s">
        <v>122</v>
      </c>
      <c r="C14" s="494">
        <v>80</v>
      </c>
      <c r="D14" s="495">
        <v>0</v>
      </c>
      <c r="E14" s="519">
        <v>80</v>
      </c>
      <c r="F14" s="496">
        <v>80</v>
      </c>
      <c r="G14" s="497">
        <v>0</v>
      </c>
      <c r="H14" s="494">
        <v>50</v>
      </c>
      <c r="I14" s="1082">
        <v>20</v>
      </c>
      <c r="J14" s="1090">
        <v>10</v>
      </c>
      <c r="K14" s="1065">
        <f t="shared" si="2"/>
        <v>80</v>
      </c>
      <c r="L14" s="468">
        <f t="shared" ref="L14" si="5">K14/E14*100</f>
        <v>100</v>
      </c>
      <c r="M14" s="469">
        <f t="shared" ref="M14" si="6">K14/F14*100</f>
        <v>100</v>
      </c>
      <c r="N14" s="18"/>
    </row>
    <row r="15" spans="1:14" s="19" customFormat="1" ht="20.100000000000001" customHeight="1" x14ac:dyDescent="0.25">
      <c r="A15" s="567">
        <v>6113</v>
      </c>
      <c r="B15" s="625" t="s">
        <v>124</v>
      </c>
      <c r="C15" s="494">
        <v>60</v>
      </c>
      <c r="D15" s="495">
        <v>0</v>
      </c>
      <c r="E15" s="519">
        <v>60</v>
      </c>
      <c r="F15" s="496">
        <v>60</v>
      </c>
      <c r="G15" s="497">
        <v>0</v>
      </c>
      <c r="H15" s="494">
        <v>40</v>
      </c>
      <c r="I15" s="1082">
        <v>10</v>
      </c>
      <c r="J15" s="1090">
        <v>10</v>
      </c>
      <c r="K15" s="1065">
        <f t="shared" si="2"/>
        <v>60</v>
      </c>
      <c r="L15" s="468">
        <f t="shared" ref="L15:L16" si="7">K15/E15*100</f>
        <v>100</v>
      </c>
      <c r="M15" s="469">
        <f t="shared" ref="M15:M16" si="8">K15/F15*100</f>
        <v>100</v>
      </c>
      <c r="N15" s="18"/>
    </row>
    <row r="16" spans="1:14" s="19" customFormat="1" ht="20.100000000000001" customHeight="1" thickBot="1" x14ac:dyDescent="0.3">
      <c r="A16" s="567">
        <v>6172</v>
      </c>
      <c r="B16" s="625" t="s">
        <v>105</v>
      </c>
      <c r="C16" s="494">
        <v>3007</v>
      </c>
      <c r="D16" s="495">
        <v>2241.91</v>
      </c>
      <c r="E16" s="519">
        <v>3335</v>
      </c>
      <c r="F16" s="496">
        <v>4290</v>
      </c>
      <c r="G16" s="497">
        <v>2146.14</v>
      </c>
      <c r="H16" s="494">
        <v>3000</v>
      </c>
      <c r="I16" s="1082">
        <v>250</v>
      </c>
      <c r="J16" s="1090">
        <v>124</v>
      </c>
      <c r="K16" s="1065">
        <f t="shared" si="2"/>
        <v>3374</v>
      </c>
      <c r="L16" s="791">
        <f t="shared" si="7"/>
        <v>101.16941529235382</v>
      </c>
      <c r="M16" s="792">
        <f t="shared" si="8"/>
        <v>78.648018648018649</v>
      </c>
      <c r="N16" s="18"/>
    </row>
    <row r="17" spans="1:14" s="19" customFormat="1" ht="20.100000000000001" customHeight="1" thickBot="1" x14ac:dyDescent="0.3">
      <c r="A17" s="188"/>
      <c r="B17" s="417" t="s">
        <v>85</v>
      </c>
      <c r="C17" s="183">
        <f t="shared" ref="C17:K17" si="9">SUM(C9:C16)</f>
        <v>3687</v>
      </c>
      <c r="D17" s="196">
        <f t="shared" si="9"/>
        <v>2306.4299999999998</v>
      </c>
      <c r="E17" s="193">
        <f t="shared" si="9"/>
        <v>3945</v>
      </c>
      <c r="F17" s="199">
        <f t="shared" si="9"/>
        <v>4900</v>
      </c>
      <c r="G17" s="200">
        <f t="shared" si="9"/>
        <v>2179.4899999999998</v>
      </c>
      <c r="H17" s="645">
        <f t="shared" si="9"/>
        <v>3390</v>
      </c>
      <c r="I17" s="1091">
        <f t="shared" si="9"/>
        <v>390</v>
      </c>
      <c r="J17" s="1092">
        <f t="shared" si="9"/>
        <v>204</v>
      </c>
      <c r="K17" s="1093">
        <f t="shared" si="9"/>
        <v>3984</v>
      </c>
      <c r="L17" s="186">
        <f>K17/E17*100</f>
        <v>100.98859315589354</v>
      </c>
      <c r="M17" s="187">
        <f>K17/F17*100</f>
        <v>81.306122448979593</v>
      </c>
      <c r="N17" s="18"/>
    </row>
    <row r="18" spans="1:14" ht="15" customHeight="1" x14ac:dyDescent="0.25">
      <c r="A18" s="20"/>
      <c r="B18" s="20"/>
      <c r="C18" s="170"/>
      <c r="D18" s="169"/>
      <c r="E18" s="170"/>
      <c r="F18" s="172"/>
      <c r="G18" s="172"/>
      <c r="H18" s="172"/>
      <c r="I18" s="172"/>
      <c r="J18" s="172"/>
      <c r="K18" s="172"/>
      <c r="L18" s="24"/>
      <c r="M18" s="25"/>
      <c r="N18" s="17"/>
    </row>
    <row r="19" spans="1:14" x14ac:dyDescent="0.2">
      <c r="C19" s="3"/>
      <c r="E19" s="3"/>
      <c r="K19" s="3"/>
    </row>
  </sheetData>
  <sortState xmlns:xlrd2="http://schemas.microsoft.com/office/spreadsheetml/2017/richdata2" ref="A9:M28">
    <sortCondition ref="A9:A28"/>
  </sortState>
  <mergeCells count="8">
    <mergeCell ref="A2:M2"/>
    <mergeCell ref="A6:A7"/>
    <mergeCell ref="C6:D6"/>
    <mergeCell ref="E6:G6"/>
    <mergeCell ref="H6:K6"/>
    <mergeCell ref="L6:L7"/>
    <mergeCell ref="M6:M7"/>
    <mergeCell ref="B6:B7"/>
  </mergeCells>
  <printOptions horizontalCentered="1"/>
  <pageMargins left="0.59055118110236227" right="0.59055118110236227" top="0.78740157480314965" bottom="0.78740157480314965" header="0.59055118110236227" footer="0.59055118110236227"/>
  <pageSetup paperSize="9" scale="6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14"/>
  <sheetViews>
    <sheetView workbookViewId="0"/>
  </sheetViews>
  <sheetFormatPr defaultRowHeight="12.75" x14ac:dyDescent="0.2"/>
  <cols>
    <col min="1" max="1" width="7.7109375" style="1" customWidth="1"/>
    <col min="2" max="2" width="47.7109375" style="1" customWidth="1"/>
    <col min="3" max="3" width="14.7109375" style="2" customWidth="1"/>
    <col min="4" max="4" width="14.7109375" style="3" customWidth="1"/>
    <col min="5" max="5" width="14.7109375" style="2" customWidth="1"/>
    <col min="6" max="8" width="14.7109375" style="3" customWidth="1"/>
    <col min="9" max="9" width="15.7109375" style="3" customWidth="1"/>
    <col min="10" max="10" width="14.7109375" style="3" customWidth="1"/>
    <col min="11" max="11" width="13.85546875" style="843" customWidth="1"/>
    <col min="12" max="12" width="10.140625" style="5" bestFit="1" customWidth="1"/>
    <col min="13" max="13" width="10.140625" style="5" customWidth="1"/>
    <col min="14" max="256" width="9.140625" style="1"/>
    <col min="257" max="257" width="6.7109375" style="1" customWidth="1"/>
    <col min="258" max="258" width="41.5703125" style="1" customWidth="1"/>
    <col min="259" max="266" width="14.7109375" style="1" customWidth="1"/>
    <col min="267" max="267" width="16.7109375" style="1" customWidth="1"/>
    <col min="268" max="268" width="10.140625" style="1" bestFit="1" customWidth="1"/>
    <col min="269" max="269" width="10.140625" style="1" customWidth="1"/>
    <col min="270" max="512" width="9.140625" style="1"/>
    <col min="513" max="513" width="6.7109375" style="1" customWidth="1"/>
    <col min="514" max="514" width="41.5703125" style="1" customWidth="1"/>
    <col min="515" max="522" width="14.7109375" style="1" customWidth="1"/>
    <col min="523" max="523" width="16.7109375" style="1" customWidth="1"/>
    <col min="524" max="524" width="10.140625" style="1" bestFit="1" customWidth="1"/>
    <col min="525" max="525" width="10.140625" style="1" customWidth="1"/>
    <col min="526" max="768" width="9.140625" style="1"/>
    <col min="769" max="769" width="6.7109375" style="1" customWidth="1"/>
    <col min="770" max="770" width="41.5703125" style="1" customWidth="1"/>
    <col min="771" max="778" width="14.7109375" style="1" customWidth="1"/>
    <col min="779" max="779" width="16.7109375" style="1" customWidth="1"/>
    <col min="780" max="780" width="10.140625" style="1" bestFit="1" customWidth="1"/>
    <col min="781" max="781" width="10.140625" style="1" customWidth="1"/>
    <col min="782" max="1024" width="9.140625" style="1"/>
    <col min="1025" max="1025" width="6.7109375" style="1" customWidth="1"/>
    <col min="1026" max="1026" width="41.5703125" style="1" customWidth="1"/>
    <col min="1027" max="1034" width="14.7109375" style="1" customWidth="1"/>
    <col min="1035" max="1035" width="16.7109375" style="1" customWidth="1"/>
    <col min="1036" max="1036" width="10.140625" style="1" bestFit="1" customWidth="1"/>
    <col min="1037" max="1037" width="10.140625" style="1" customWidth="1"/>
    <col min="1038" max="1280" width="9.140625" style="1"/>
    <col min="1281" max="1281" width="6.7109375" style="1" customWidth="1"/>
    <col min="1282" max="1282" width="41.5703125" style="1" customWidth="1"/>
    <col min="1283" max="1290" width="14.7109375" style="1" customWidth="1"/>
    <col min="1291" max="1291" width="16.7109375" style="1" customWidth="1"/>
    <col min="1292" max="1292" width="10.140625" style="1" bestFit="1" customWidth="1"/>
    <col min="1293" max="1293" width="10.140625" style="1" customWidth="1"/>
    <col min="1294" max="1536" width="9.140625" style="1"/>
    <col min="1537" max="1537" width="6.7109375" style="1" customWidth="1"/>
    <col min="1538" max="1538" width="41.5703125" style="1" customWidth="1"/>
    <col min="1539" max="1546" width="14.7109375" style="1" customWidth="1"/>
    <col min="1547" max="1547" width="16.7109375" style="1" customWidth="1"/>
    <col min="1548" max="1548" width="10.140625" style="1" bestFit="1" customWidth="1"/>
    <col min="1549" max="1549" width="10.140625" style="1" customWidth="1"/>
    <col min="1550" max="1792" width="9.140625" style="1"/>
    <col min="1793" max="1793" width="6.7109375" style="1" customWidth="1"/>
    <col min="1794" max="1794" width="41.5703125" style="1" customWidth="1"/>
    <col min="1795" max="1802" width="14.7109375" style="1" customWidth="1"/>
    <col min="1803" max="1803" width="16.7109375" style="1" customWidth="1"/>
    <col min="1804" max="1804" width="10.140625" style="1" bestFit="1" customWidth="1"/>
    <col min="1805" max="1805" width="10.140625" style="1" customWidth="1"/>
    <col min="1806" max="2048" width="9.140625" style="1"/>
    <col min="2049" max="2049" width="6.7109375" style="1" customWidth="1"/>
    <col min="2050" max="2050" width="41.5703125" style="1" customWidth="1"/>
    <col min="2051" max="2058" width="14.7109375" style="1" customWidth="1"/>
    <col min="2059" max="2059" width="16.7109375" style="1" customWidth="1"/>
    <col min="2060" max="2060" width="10.140625" style="1" bestFit="1" customWidth="1"/>
    <col min="2061" max="2061" width="10.140625" style="1" customWidth="1"/>
    <col min="2062" max="2304" width="9.140625" style="1"/>
    <col min="2305" max="2305" width="6.7109375" style="1" customWidth="1"/>
    <col min="2306" max="2306" width="41.5703125" style="1" customWidth="1"/>
    <col min="2307" max="2314" width="14.7109375" style="1" customWidth="1"/>
    <col min="2315" max="2315" width="16.7109375" style="1" customWidth="1"/>
    <col min="2316" max="2316" width="10.140625" style="1" bestFit="1" customWidth="1"/>
    <col min="2317" max="2317" width="10.140625" style="1" customWidth="1"/>
    <col min="2318" max="2560" width="9.140625" style="1"/>
    <col min="2561" max="2561" width="6.7109375" style="1" customWidth="1"/>
    <col min="2562" max="2562" width="41.5703125" style="1" customWidth="1"/>
    <col min="2563" max="2570" width="14.7109375" style="1" customWidth="1"/>
    <col min="2571" max="2571" width="16.7109375" style="1" customWidth="1"/>
    <col min="2572" max="2572" width="10.140625" style="1" bestFit="1" customWidth="1"/>
    <col min="2573" max="2573" width="10.140625" style="1" customWidth="1"/>
    <col min="2574" max="2816" width="9.140625" style="1"/>
    <col min="2817" max="2817" width="6.7109375" style="1" customWidth="1"/>
    <col min="2818" max="2818" width="41.5703125" style="1" customWidth="1"/>
    <col min="2819" max="2826" width="14.7109375" style="1" customWidth="1"/>
    <col min="2827" max="2827" width="16.7109375" style="1" customWidth="1"/>
    <col min="2828" max="2828" width="10.140625" style="1" bestFit="1" customWidth="1"/>
    <col min="2829" max="2829" width="10.140625" style="1" customWidth="1"/>
    <col min="2830" max="3072" width="9.140625" style="1"/>
    <col min="3073" max="3073" width="6.7109375" style="1" customWidth="1"/>
    <col min="3074" max="3074" width="41.5703125" style="1" customWidth="1"/>
    <col min="3075" max="3082" width="14.7109375" style="1" customWidth="1"/>
    <col min="3083" max="3083" width="16.7109375" style="1" customWidth="1"/>
    <col min="3084" max="3084" width="10.140625" style="1" bestFit="1" customWidth="1"/>
    <col min="3085" max="3085" width="10.140625" style="1" customWidth="1"/>
    <col min="3086" max="3328" width="9.140625" style="1"/>
    <col min="3329" max="3329" width="6.7109375" style="1" customWidth="1"/>
    <col min="3330" max="3330" width="41.5703125" style="1" customWidth="1"/>
    <col min="3331" max="3338" width="14.7109375" style="1" customWidth="1"/>
    <col min="3339" max="3339" width="16.7109375" style="1" customWidth="1"/>
    <col min="3340" max="3340" width="10.140625" style="1" bestFit="1" customWidth="1"/>
    <col min="3341" max="3341" width="10.140625" style="1" customWidth="1"/>
    <col min="3342" max="3584" width="9.140625" style="1"/>
    <col min="3585" max="3585" width="6.7109375" style="1" customWidth="1"/>
    <col min="3586" max="3586" width="41.5703125" style="1" customWidth="1"/>
    <col min="3587" max="3594" width="14.7109375" style="1" customWidth="1"/>
    <col min="3595" max="3595" width="16.7109375" style="1" customWidth="1"/>
    <col min="3596" max="3596" width="10.140625" style="1" bestFit="1" customWidth="1"/>
    <col min="3597" max="3597" width="10.140625" style="1" customWidth="1"/>
    <col min="3598" max="3840" width="9.140625" style="1"/>
    <col min="3841" max="3841" width="6.7109375" style="1" customWidth="1"/>
    <col min="3842" max="3842" width="41.5703125" style="1" customWidth="1"/>
    <col min="3843" max="3850" width="14.7109375" style="1" customWidth="1"/>
    <col min="3851" max="3851" width="16.7109375" style="1" customWidth="1"/>
    <col min="3852" max="3852" width="10.140625" style="1" bestFit="1" customWidth="1"/>
    <col min="3853" max="3853" width="10.140625" style="1" customWidth="1"/>
    <col min="3854" max="4096" width="9.140625" style="1"/>
    <col min="4097" max="4097" width="6.7109375" style="1" customWidth="1"/>
    <col min="4098" max="4098" width="41.5703125" style="1" customWidth="1"/>
    <col min="4099" max="4106" width="14.7109375" style="1" customWidth="1"/>
    <col min="4107" max="4107" width="16.7109375" style="1" customWidth="1"/>
    <col min="4108" max="4108" width="10.140625" style="1" bestFit="1" customWidth="1"/>
    <col min="4109" max="4109" width="10.140625" style="1" customWidth="1"/>
    <col min="4110" max="4352" width="9.140625" style="1"/>
    <col min="4353" max="4353" width="6.7109375" style="1" customWidth="1"/>
    <col min="4354" max="4354" width="41.5703125" style="1" customWidth="1"/>
    <col min="4355" max="4362" width="14.7109375" style="1" customWidth="1"/>
    <col min="4363" max="4363" width="16.7109375" style="1" customWidth="1"/>
    <col min="4364" max="4364" width="10.140625" style="1" bestFit="1" customWidth="1"/>
    <col min="4365" max="4365" width="10.140625" style="1" customWidth="1"/>
    <col min="4366" max="4608" width="9.140625" style="1"/>
    <col min="4609" max="4609" width="6.7109375" style="1" customWidth="1"/>
    <col min="4610" max="4610" width="41.5703125" style="1" customWidth="1"/>
    <col min="4611" max="4618" width="14.7109375" style="1" customWidth="1"/>
    <col min="4619" max="4619" width="16.7109375" style="1" customWidth="1"/>
    <col min="4620" max="4620" width="10.140625" style="1" bestFit="1" customWidth="1"/>
    <col min="4621" max="4621" width="10.140625" style="1" customWidth="1"/>
    <col min="4622" max="4864" width="9.140625" style="1"/>
    <col min="4865" max="4865" width="6.7109375" style="1" customWidth="1"/>
    <col min="4866" max="4866" width="41.5703125" style="1" customWidth="1"/>
    <col min="4867" max="4874" width="14.7109375" style="1" customWidth="1"/>
    <col min="4875" max="4875" width="16.7109375" style="1" customWidth="1"/>
    <col min="4876" max="4876" width="10.140625" style="1" bestFit="1" customWidth="1"/>
    <col min="4877" max="4877" width="10.140625" style="1" customWidth="1"/>
    <col min="4878" max="5120" width="9.140625" style="1"/>
    <col min="5121" max="5121" width="6.7109375" style="1" customWidth="1"/>
    <col min="5122" max="5122" width="41.5703125" style="1" customWidth="1"/>
    <col min="5123" max="5130" width="14.7109375" style="1" customWidth="1"/>
    <col min="5131" max="5131" width="16.7109375" style="1" customWidth="1"/>
    <col min="5132" max="5132" width="10.140625" style="1" bestFit="1" customWidth="1"/>
    <col min="5133" max="5133" width="10.140625" style="1" customWidth="1"/>
    <col min="5134" max="5376" width="9.140625" style="1"/>
    <col min="5377" max="5377" width="6.7109375" style="1" customWidth="1"/>
    <col min="5378" max="5378" width="41.5703125" style="1" customWidth="1"/>
    <col min="5379" max="5386" width="14.7109375" style="1" customWidth="1"/>
    <col min="5387" max="5387" width="16.7109375" style="1" customWidth="1"/>
    <col min="5388" max="5388" width="10.140625" style="1" bestFit="1" customWidth="1"/>
    <col min="5389" max="5389" width="10.140625" style="1" customWidth="1"/>
    <col min="5390" max="5632" width="9.140625" style="1"/>
    <col min="5633" max="5633" width="6.7109375" style="1" customWidth="1"/>
    <col min="5634" max="5634" width="41.5703125" style="1" customWidth="1"/>
    <col min="5635" max="5642" width="14.7109375" style="1" customWidth="1"/>
    <col min="5643" max="5643" width="16.7109375" style="1" customWidth="1"/>
    <col min="5644" max="5644" width="10.140625" style="1" bestFit="1" customWidth="1"/>
    <col min="5645" max="5645" width="10.140625" style="1" customWidth="1"/>
    <col min="5646" max="5888" width="9.140625" style="1"/>
    <col min="5889" max="5889" width="6.7109375" style="1" customWidth="1"/>
    <col min="5890" max="5890" width="41.5703125" style="1" customWidth="1"/>
    <col min="5891" max="5898" width="14.7109375" style="1" customWidth="1"/>
    <col min="5899" max="5899" width="16.7109375" style="1" customWidth="1"/>
    <col min="5900" max="5900" width="10.140625" style="1" bestFit="1" customWidth="1"/>
    <col min="5901" max="5901" width="10.140625" style="1" customWidth="1"/>
    <col min="5902" max="6144" width="9.140625" style="1"/>
    <col min="6145" max="6145" width="6.7109375" style="1" customWidth="1"/>
    <col min="6146" max="6146" width="41.5703125" style="1" customWidth="1"/>
    <col min="6147" max="6154" width="14.7109375" style="1" customWidth="1"/>
    <col min="6155" max="6155" width="16.7109375" style="1" customWidth="1"/>
    <col min="6156" max="6156" width="10.140625" style="1" bestFit="1" customWidth="1"/>
    <col min="6157" max="6157" width="10.140625" style="1" customWidth="1"/>
    <col min="6158" max="6400" width="9.140625" style="1"/>
    <col min="6401" max="6401" width="6.7109375" style="1" customWidth="1"/>
    <col min="6402" max="6402" width="41.5703125" style="1" customWidth="1"/>
    <col min="6403" max="6410" width="14.7109375" style="1" customWidth="1"/>
    <col min="6411" max="6411" width="16.7109375" style="1" customWidth="1"/>
    <col min="6412" max="6412" width="10.140625" style="1" bestFit="1" customWidth="1"/>
    <col min="6413" max="6413" width="10.140625" style="1" customWidth="1"/>
    <col min="6414" max="6656" width="9.140625" style="1"/>
    <col min="6657" max="6657" width="6.7109375" style="1" customWidth="1"/>
    <col min="6658" max="6658" width="41.5703125" style="1" customWidth="1"/>
    <col min="6659" max="6666" width="14.7109375" style="1" customWidth="1"/>
    <col min="6667" max="6667" width="16.7109375" style="1" customWidth="1"/>
    <col min="6668" max="6668" width="10.140625" style="1" bestFit="1" customWidth="1"/>
    <col min="6669" max="6669" width="10.140625" style="1" customWidth="1"/>
    <col min="6670" max="6912" width="9.140625" style="1"/>
    <col min="6913" max="6913" width="6.7109375" style="1" customWidth="1"/>
    <col min="6914" max="6914" width="41.5703125" style="1" customWidth="1"/>
    <col min="6915" max="6922" width="14.7109375" style="1" customWidth="1"/>
    <col min="6923" max="6923" width="16.7109375" style="1" customWidth="1"/>
    <col min="6924" max="6924" width="10.140625" style="1" bestFit="1" customWidth="1"/>
    <col min="6925" max="6925" width="10.140625" style="1" customWidth="1"/>
    <col min="6926" max="7168" width="9.140625" style="1"/>
    <col min="7169" max="7169" width="6.7109375" style="1" customWidth="1"/>
    <col min="7170" max="7170" width="41.5703125" style="1" customWidth="1"/>
    <col min="7171" max="7178" width="14.7109375" style="1" customWidth="1"/>
    <col min="7179" max="7179" width="16.7109375" style="1" customWidth="1"/>
    <col min="7180" max="7180" width="10.140625" style="1" bestFit="1" customWidth="1"/>
    <col min="7181" max="7181" width="10.140625" style="1" customWidth="1"/>
    <col min="7182" max="7424" width="9.140625" style="1"/>
    <col min="7425" max="7425" width="6.7109375" style="1" customWidth="1"/>
    <col min="7426" max="7426" width="41.5703125" style="1" customWidth="1"/>
    <col min="7427" max="7434" width="14.7109375" style="1" customWidth="1"/>
    <col min="7435" max="7435" width="16.7109375" style="1" customWidth="1"/>
    <col min="7436" max="7436" width="10.140625" style="1" bestFit="1" customWidth="1"/>
    <col min="7437" max="7437" width="10.140625" style="1" customWidth="1"/>
    <col min="7438" max="7680" width="9.140625" style="1"/>
    <col min="7681" max="7681" width="6.7109375" style="1" customWidth="1"/>
    <col min="7682" max="7682" width="41.5703125" style="1" customWidth="1"/>
    <col min="7683" max="7690" width="14.7109375" style="1" customWidth="1"/>
    <col min="7691" max="7691" width="16.7109375" style="1" customWidth="1"/>
    <col min="7692" max="7692" width="10.140625" style="1" bestFit="1" customWidth="1"/>
    <col min="7693" max="7693" width="10.140625" style="1" customWidth="1"/>
    <col min="7694" max="7936" width="9.140625" style="1"/>
    <col min="7937" max="7937" width="6.7109375" style="1" customWidth="1"/>
    <col min="7938" max="7938" width="41.5703125" style="1" customWidth="1"/>
    <col min="7939" max="7946" width="14.7109375" style="1" customWidth="1"/>
    <col min="7947" max="7947" width="16.7109375" style="1" customWidth="1"/>
    <col min="7948" max="7948" width="10.140625" style="1" bestFit="1" customWidth="1"/>
    <col min="7949" max="7949" width="10.140625" style="1" customWidth="1"/>
    <col min="7950" max="8192" width="9.140625" style="1"/>
    <col min="8193" max="8193" width="6.7109375" style="1" customWidth="1"/>
    <col min="8194" max="8194" width="41.5703125" style="1" customWidth="1"/>
    <col min="8195" max="8202" width="14.7109375" style="1" customWidth="1"/>
    <col min="8203" max="8203" width="16.7109375" style="1" customWidth="1"/>
    <col min="8204" max="8204" width="10.140625" style="1" bestFit="1" customWidth="1"/>
    <col min="8205" max="8205" width="10.140625" style="1" customWidth="1"/>
    <col min="8206" max="8448" width="9.140625" style="1"/>
    <col min="8449" max="8449" width="6.7109375" style="1" customWidth="1"/>
    <col min="8450" max="8450" width="41.5703125" style="1" customWidth="1"/>
    <col min="8451" max="8458" width="14.7109375" style="1" customWidth="1"/>
    <col min="8459" max="8459" width="16.7109375" style="1" customWidth="1"/>
    <col min="8460" max="8460" width="10.140625" style="1" bestFit="1" customWidth="1"/>
    <col min="8461" max="8461" width="10.140625" style="1" customWidth="1"/>
    <col min="8462" max="8704" width="9.140625" style="1"/>
    <col min="8705" max="8705" width="6.7109375" style="1" customWidth="1"/>
    <col min="8706" max="8706" width="41.5703125" style="1" customWidth="1"/>
    <col min="8707" max="8714" width="14.7109375" style="1" customWidth="1"/>
    <col min="8715" max="8715" width="16.7109375" style="1" customWidth="1"/>
    <col min="8716" max="8716" width="10.140625" style="1" bestFit="1" customWidth="1"/>
    <col min="8717" max="8717" width="10.140625" style="1" customWidth="1"/>
    <col min="8718" max="8960" width="9.140625" style="1"/>
    <col min="8961" max="8961" width="6.7109375" style="1" customWidth="1"/>
    <col min="8962" max="8962" width="41.5703125" style="1" customWidth="1"/>
    <col min="8963" max="8970" width="14.7109375" style="1" customWidth="1"/>
    <col min="8971" max="8971" width="16.7109375" style="1" customWidth="1"/>
    <col min="8972" max="8972" width="10.140625" style="1" bestFit="1" customWidth="1"/>
    <col min="8973" max="8973" width="10.140625" style="1" customWidth="1"/>
    <col min="8974" max="9216" width="9.140625" style="1"/>
    <col min="9217" max="9217" width="6.7109375" style="1" customWidth="1"/>
    <col min="9218" max="9218" width="41.5703125" style="1" customWidth="1"/>
    <col min="9219" max="9226" width="14.7109375" style="1" customWidth="1"/>
    <col min="9227" max="9227" width="16.7109375" style="1" customWidth="1"/>
    <col min="9228" max="9228" width="10.140625" style="1" bestFit="1" customWidth="1"/>
    <col min="9229" max="9229" width="10.140625" style="1" customWidth="1"/>
    <col min="9230" max="9472" width="9.140625" style="1"/>
    <col min="9473" max="9473" width="6.7109375" style="1" customWidth="1"/>
    <col min="9474" max="9474" width="41.5703125" style="1" customWidth="1"/>
    <col min="9475" max="9482" width="14.7109375" style="1" customWidth="1"/>
    <col min="9483" max="9483" width="16.7109375" style="1" customWidth="1"/>
    <col min="9484" max="9484" width="10.140625" style="1" bestFit="1" customWidth="1"/>
    <col min="9485" max="9485" width="10.140625" style="1" customWidth="1"/>
    <col min="9486" max="9728" width="9.140625" style="1"/>
    <col min="9729" max="9729" width="6.7109375" style="1" customWidth="1"/>
    <col min="9730" max="9730" width="41.5703125" style="1" customWidth="1"/>
    <col min="9731" max="9738" width="14.7109375" style="1" customWidth="1"/>
    <col min="9739" max="9739" width="16.7109375" style="1" customWidth="1"/>
    <col min="9740" max="9740" width="10.140625" style="1" bestFit="1" customWidth="1"/>
    <col min="9741" max="9741" width="10.140625" style="1" customWidth="1"/>
    <col min="9742" max="9984" width="9.140625" style="1"/>
    <col min="9985" max="9985" width="6.7109375" style="1" customWidth="1"/>
    <col min="9986" max="9986" width="41.5703125" style="1" customWidth="1"/>
    <col min="9987" max="9994" width="14.7109375" style="1" customWidth="1"/>
    <col min="9995" max="9995" width="16.7109375" style="1" customWidth="1"/>
    <col min="9996" max="9996" width="10.140625" style="1" bestFit="1" customWidth="1"/>
    <col min="9997" max="9997" width="10.140625" style="1" customWidth="1"/>
    <col min="9998" max="10240" width="9.140625" style="1"/>
    <col min="10241" max="10241" width="6.7109375" style="1" customWidth="1"/>
    <col min="10242" max="10242" width="41.5703125" style="1" customWidth="1"/>
    <col min="10243" max="10250" width="14.7109375" style="1" customWidth="1"/>
    <col min="10251" max="10251" width="16.7109375" style="1" customWidth="1"/>
    <col min="10252" max="10252" width="10.140625" style="1" bestFit="1" customWidth="1"/>
    <col min="10253" max="10253" width="10.140625" style="1" customWidth="1"/>
    <col min="10254" max="10496" width="9.140625" style="1"/>
    <col min="10497" max="10497" width="6.7109375" style="1" customWidth="1"/>
    <col min="10498" max="10498" width="41.5703125" style="1" customWidth="1"/>
    <col min="10499" max="10506" width="14.7109375" style="1" customWidth="1"/>
    <col min="10507" max="10507" width="16.7109375" style="1" customWidth="1"/>
    <col min="10508" max="10508" width="10.140625" style="1" bestFit="1" customWidth="1"/>
    <col min="10509" max="10509" width="10.140625" style="1" customWidth="1"/>
    <col min="10510" max="10752" width="9.140625" style="1"/>
    <col min="10753" max="10753" width="6.7109375" style="1" customWidth="1"/>
    <col min="10754" max="10754" width="41.5703125" style="1" customWidth="1"/>
    <col min="10755" max="10762" width="14.7109375" style="1" customWidth="1"/>
    <col min="10763" max="10763" width="16.7109375" style="1" customWidth="1"/>
    <col min="10764" max="10764" width="10.140625" style="1" bestFit="1" customWidth="1"/>
    <col min="10765" max="10765" width="10.140625" style="1" customWidth="1"/>
    <col min="10766" max="11008" width="9.140625" style="1"/>
    <col min="11009" max="11009" width="6.7109375" style="1" customWidth="1"/>
    <col min="11010" max="11010" width="41.5703125" style="1" customWidth="1"/>
    <col min="11011" max="11018" width="14.7109375" style="1" customWidth="1"/>
    <col min="11019" max="11019" width="16.7109375" style="1" customWidth="1"/>
    <col min="11020" max="11020" width="10.140625" style="1" bestFit="1" customWidth="1"/>
    <col min="11021" max="11021" width="10.140625" style="1" customWidth="1"/>
    <col min="11022" max="11264" width="9.140625" style="1"/>
    <col min="11265" max="11265" width="6.7109375" style="1" customWidth="1"/>
    <col min="11266" max="11266" width="41.5703125" style="1" customWidth="1"/>
    <col min="11267" max="11274" width="14.7109375" style="1" customWidth="1"/>
    <col min="11275" max="11275" width="16.7109375" style="1" customWidth="1"/>
    <col min="11276" max="11276" width="10.140625" style="1" bestFit="1" customWidth="1"/>
    <col min="11277" max="11277" width="10.140625" style="1" customWidth="1"/>
    <col min="11278" max="11520" width="9.140625" style="1"/>
    <col min="11521" max="11521" width="6.7109375" style="1" customWidth="1"/>
    <col min="11522" max="11522" width="41.5703125" style="1" customWidth="1"/>
    <col min="11523" max="11530" width="14.7109375" style="1" customWidth="1"/>
    <col min="11531" max="11531" width="16.7109375" style="1" customWidth="1"/>
    <col min="11532" max="11532" width="10.140625" style="1" bestFit="1" customWidth="1"/>
    <col min="11533" max="11533" width="10.140625" style="1" customWidth="1"/>
    <col min="11534" max="11776" width="9.140625" style="1"/>
    <col min="11777" max="11777" width="6.7109375" style="1" customWidth="1"/>
    <col min="11778" max="11778" width="41.5703125" style="1" customWidth="1"/>
    <col min="11779" max="11786" width="14.7109375" style="1" customWidth="1"/>
    <col min="11787" max="11787" width="16.7109375" style="1" customWidth="1"/>
    <col min="11788" max="11788" width="10.140625" style="1" bestFit="1" customWidth="1"/>
    <col min="11789" max="11789" width="10.140625" style="1" customWidth="1"/>
    <col min="11790" max="12032" width="9.140625" style="1"/>
    <col min="12033" max="12033" width="6.7109375" style="1" customWidth="1"/>
    <col min="12034" max="12034" width="41.5703125" style="1" customWidth="1"/>
    <col min="12035" max="12042" width="14.7109375" style="1" customWidth="1"/>
    <col min="12043" max="12043" width="16.7109375" style="1" customWidth="1"/>
    <col min="12044" max="12044" width="10.140625" style="1" bestFit="1" customWidth="1"/>
    <col min="12045" max="12045" width="10.140625" style="1" customWidth="1"/>
    <col min="12046" max="12288" width="9.140625" style="1"/>
    <col min="12289" max="12289" width="6.7109375" style="1" customWidth="1"/>
    <col min="12290" max="12290" width="41.5703125" style="1" customWidth="1"/>
    <col min="12291" max="12298" width="14.7109375" style="1" customWidth="1"/>
    <col min="12299" max="12299" width="16.7109375" style="1" customWidth="1"/>
    <col min="12300" max="12300" width="10.140625" style="1" bestFit="1" customWidth="1"/>
    <col min="12301" max="12301" width="10.140625" style="1" customWidth="1"/>
    <col min="12302" max="12544" width="9.140625" style="1"/>
    <col min="12545" max="12545" width="6.7109375" style="1" customWidth="1"/>
    <col min="12546" max="12546" width="41.5703125" style="1" customWidth="1"/>
    <col min="12547" max="12554" width="14.7109375" style="1" customWidth="1"/>
    <col min="12555" max="12555" width="16.7109375" style="1" customWidth="1"/>
    <col min="12556" max="12556" width="10.140625" style="1" bestFit="1" customWidth="1"/>
    <col min="12557" max="12557" width="10.140625" style="1" customWidth="1"/>
    <col min="12558" max="12800" width="9.140625" style="1"/>
    <col min="12801" max="12801" width="6.7109375" style="1" customWidth="1"/>
    <col min="12802" max="12802" width="41.5703125" style="1" customWidth="1"/>
    <col min="12803" max="12810" width="14.7109375" style="1" customWidth="1"/>
    <col min="12811" max="12811" width="16.7109375" style="1" customWidth="1"/>
    <col min="12812" max="12812" width="10.140625" style="1" bestFit="1" customWidth="1"/>
    <col min="12813" max="12813" width="10.140625" style="1" customWidth="1"/>
    <col min="12814" max="13056" width="9.140625" style="1"/>
    <col min="13057" max="13057" width="6.7109375" style="1" customWidth="1"/>
    <col min="13058" max="13058" width="41.5703125" style="1" customWidth="1"/>
    <col min="13059" max="13066" width="14.7109375" style="1" customWidth="1"/>
    <col min="13067" max="13067" width="16.7109375" style="1" customWidth="1"/>
    <col min="13068" max="13068" width="10.140625" style="1" bestFit="1" customWidth="1"/>
    <col min="13069" max="13069" width="10.140625" style="1" customWidth="1"/>
    <col min="13070" max="13312" width="9.140625" style="1"/>
    <col min="13313" max="13313" width="6.7109375" style="1" customWidth="1"/>
    <col min="13314" max="13314" width="41.5703125" style="1" customWidth="1"/>
    <col min="13315" max="13322" width="14.7109375" style="1" customWidth="1"/>
    <col min="13323" max="13323" width="16.7109375" style="1" customWidth="1"/>
    <col min="13324" max="13324" width="10.140625" style="1" bestFit="1" customWidth="1"/>
    <col min="13325" max="13325" width="10.140625" style="1" customWidth="1"/>
    <col min="13326" max="13568" width="9.140625" style="1"/>
    <col min="13569" max="13569" width="6.7109375" style="1" customWidth="1"/>
    <col min="13570" max="13570" width="41.5703125" style="1" customWidth="1"/>
    <col min="13571" max="13578" width="14.7109375" style="1" customWidth="1"/>
    <col min="13579" max="13579" width="16.7109375" style="1" customWidth="1"/>
    <col min="13580" max="13580" width="10.140625" style="1" bestFit="1" customWidth="1"/>
    <col min="13581" max="13581" width="10.140625" style="1" customWidth="1"/>
    <col min="13582" max="13824" width="9.140625" style="1"/>
    <col min="13825" max="13825" width="6.7109375" style="1" customWidth="1"/>
    <col min="13826" max="13826" width="41.5703125" style="1" customWidth="1"/>
    <col min="13827" max="13834" width="14.7109375" style="1" customWidth="1"/>
    <col min="13835" max="13835" width="16.7109375" style="1" customWidth="1"/>
    <col min="13836" max="13836" width="10.140625" style="1" bestFit="1" customWidth="1"/>
    <col min="13837" max="13837" width="10.140625" style="1" customWidth="1"/>
    <col min="13838" max="14080" width="9.140625" style="1"/>
    <col min="14081" max="14081" width="6.7109375" style="1" customWidth="1"/>
    <col min="14082" max="14082" width="41.5703125" style="1" customWidth="1"/>
    <col min="14083" max="14090" width="14.7109375" style="1" customWidth="1"/>
    <col min="14091" max="14091" width="16.7109375" style="1" customWidth="1"/>
    <col min="14092" max="14092" width="10.140625" style="1" bestFit="1" customWidth="1"/>
    <col min="14093" max="14093" width="10.140625" style="1" customWidth="1"/>
    <col min="14094" max="14336" width="9.140625" style="1"/>
    <col min="14337" max="14337" width="6.7109375" style="1" customWidth="1"/>
    <col min="14338" max="14338" width="41.5703125" style="1" customWidth="1"/>
    <col min="14339" max="14346" width="14.7109375" style="1" customWidth="1"/>
    <col min="14347" max="14347" width="16.7109375" style="1" customWidth="1"/>
    <col min="14348" max="14348" width="10.140625" style="1" bestFit="1" customWidth="1"/>
    <col min="14349" max="14349" width="10.140625" style="1" customWidth="1"/>
    <col min="14350" max="14592" width="9.140625" style="1"/>
    <col min="14593" max="14593" width="6.7109375" style="1" customWidth="1"/>
    <col min="14594" max="14594" width="41.5703125" style="1" customWidth="1"/>
    <col min="14595" max="14602" width="14.7109375" style="1" customWidth="1"/>
    <col min="14603" max="14603" width="16.7109375" style="1" customWidth="1"/>
    <col min="14604" max="14604" width="10.140625" style="1" bestFit="1" customWidth="1"/>
    <col min="14605" max="14605" width="10.140625" style="1" customWidth="1"/>
    <col min="14606" max="14848" width="9.140625" style="1"/>
    <col min="14849" max="14849" width="6.7109375" style="1" customWidth="1"/>
    <col min="14850" max="14850" width="41.5703125" style="1" customWidth="1"/>
    <col min="14851" max="14858" width="14.7109375" style="1" customWidth="1"/>
    <col min="14859" max="14859" width="16.7109375" style="1" customWidth="1"/>
    <col min="14860" max="14860" width="10.140625" style="1" bestFit="1" customWidth="1"/>
    <col min="14861" max="14861" width="10.140625" style="1" customWidth="1"/>
    <col min="14862" max="15104" width="9.140625" style="1"/>
    <col min="15105" max="15105" width="6.7109375" style="1" customWidth="1"/>
    <col min="15106" max="15106" width="41.5703125" style="1" customWidth="1"/>
    <col min="15107" max="15114" width="14.7109375" style="1" customWidth="1"/>
    <col min="15115" max="15115" width="16.7109375" style="1" customWidth="1"/>
    <col min="15116" max="15116" width="10.140625" style="1" bestFit="1" customWidth="1"/>
    <col min="15117" max="15117" width="10.140625" style="1" customWidth="1"/>
    <col min="15118" max="15360" width="9.140625" style="1"/>
    <col min="15361" max="15361" width="6.7109375" style="1" customWidth="1"/>
    <col min="15362" max="15362" width="41.5703125" style="1" customWidth="1"/>
    <col min="15363" max="15370" width="14.7109375" style="1" customWidth="1"/>
    <col min="15371" max="15371" width="16.7109375" style="1" customWidth="1"/>
    <col min="15372" max="15372" width="10.140625" style="1" bestFit="1" customWidth="1"/>
    <col min="15373" max="15373" width="10.140625" style="1" customWidth="1"/>
    <col min="15374" max="15616" width="9.140625" style="1"/>
    <col min="15617" max="15617" width="6.7109375" style="1" customWidth="1"/>
    <col min="15618" max="15618" width="41.5703125" style="1" customWidth="1"/>
    <col min="15619" max="15626" width="14.7109375" style="1" customWidth="1"/>
    <col min="15627" max="15627" width="16.7109375" style="1" customWidth="1"/>
    <col min="15628" max="15628" width="10.140625" style="1" bestFit="1" customWidth="1"/>
    <col min="15629" max="15629" width="10.140625" style="1" customWidth="1"/>
    <col min="15630" max="15872" width="9.140625" style="1"/>
    <col min="15873" max="15873" width="6.7109375" style="1" customWidth="1"/>
    <col min="15874" max="15874" width="41.5703125" style="1" customWidth="1"/>
    <col min="15875" max="15882" width="14.7109375" style="1" customWidth="1"/>
    <col min="15883" max="15883" width="16.7109375" style="1" customWidth="1"/>
    <col min="15884" max="15884" width="10.140625" style="1" bestFit="1" customWidth="1"/>
    <col min="15885" max="15885" width="10.140625" style="1" customWidth="1"/>
    <col min="15886" max="16128" width="9.140625" style="1"/>
    <col min="16129" max="16129" width="6.7109375" style="1" customWidth="1"/>
    <col min="16130" max="16130" width="41.5703125" style="1" customWidth="1"/>
    <col min="16131" max="16138" width="14.7109375" style="1" customWidth="1"/>
    <col min="16139" max="16139" width="16.7109375" style="1" customWidth="1"/>
    <col min="16140" max="16140" width="10.140625" style="1" bestFit="1" customWidth="1"/>
    <col min="16141" max="16141" width="10.140625" style="1" customWidth="1"/>
    <col min="16142" max="16384" width="9.140625" style="1"/>
  </cols>
  <sheetData>
    <row r="1" spans="1:14" ht="15" x14ac:dyDescent="0.25">
      <c r="M1" s="6"/>
    </row>
    <row r="2" spans="1:14" ht="20.100000000000001" customHeight="1" x14ac:dyDescent="0.35">
      <c r="A2" s="1284" t="s">
        <v>570</v>
      </c>
      <c r="B2" s="1284"/>
      <c r="C2" s="1284"/>
      <c r="D2" s="1284"/>
      <c r="E2" s="1284"/>
      <c r="F2" s="1284"/>
      <c r="G2" s="1284"/>
      <c r="H2" s="1284"/>
      <c r="I2" s="1284"/>
      <c r="J2" s="1284"/>
      <c r="K2" s="1284"/>
      <c r="L2" s="1284"/>
      <c r="M2" s="1284"/>
      <c r="N2" s="29"/>
    </row>
    <row r="3" spans="1:14" ht="15" customHeight="1" x14ac:dyDescent="0.2"/>
    <row r="4" spans="1:14" ht="18.75" x14ac:dyDescent="0.3">
      <c r="A4" s="7" t="s">
        <v>102</v>
      </c>
      <c r="L4" s="8"/>
    </row>
    <row r="5" spans="1:14" ht="15" customHeight="1" thickBot="1" x14ac:dyDescent="0.35">
      <c r="A5" s="7"/>
      <c r="M5" s="8" t="s">
        <v>0</v>
      </c>
    </row>
    <row r="6" spans="1:14" s="26" customFormat="1" ht="15.95" customHeight="1" x14ac:dyDescent="0.2">
      <c r="A6" s="1286" t="s">
        <v>88</v>
      </c>
      <c r="B6" s="1299" t="s">
        <v>103</v>
      </c>
      <c r="C6" s="1288" t="s">
        <v>283</v>
      </c>
      <c r="D6" s="1289"/>
      <c r="E6" s="1288" t="s">
        <v>390</v>
      </c>
      <c r="F6" s="1290"/>
      <c r="G6" s="1289"/>
      <c r="H6" s="1291" t="s">
        <v>484</v>
      </c>
      <c r="I6" s="1292"/>
      <c r="J6" s="1292"/>
      <c r="K6" s="1293"/>
      <c r="L6" s="1294" t="s">
        <v>485</v>
      </c>
      <c r="M6" s="1296" t="s">
        <v>489</v>
      </c>
    </row>
    <row r="7" spans="1:14" s="26" customFormat="1" ht="27" customHeight="1" thickBot="1" x14ac:dyDescent="0.25">
      <c r="A7" s="1287"/>
      <c r="B7" s="1301"/>
      <c r="C7" s="179" t="s">
        <v>108</v>
      </c>
      <c r="D7" s="180" t="s">
        <v>127</v>
      </c>
      <c r="E7" s="267" t="s">
        <v>109</v>
      </c>
      <c r="F7" s="268" t="s">
        <v>586</v>
      </c>
      <c r="G7" s="269" t="s">
        <v>587</v>
      </c>
      <c r="H7" s="892" t="s">
        <v>125</v>
      </c>
      <c r="I7" s="893" t="s">
        <v>126</v>
      </c>
      <c r="J7" s="894" t="s">
        <v>331</v>
      </c>
      <c r="K7" s="889" t="s">
        <v>85</v>
      </c>
      <c r="L7" s="1295"/>
      <c r="M7" s="1297"/>
    </row>
    <row r="8" spans="1:14" s="9" customFormat="1" ht="20.100000000000001" customHeight="1" thickBot="1" x14ac:dyDescent="0.3">
      <c r="B8" s="10" t="s">
        <v>104</v>
      </c>
      <c r="C8" s="11"/>
      <c r="D8" s="12"/>
      <c r="E8" s="11"/>
      <c r="F8" s="13"/>
      <c r="G8" s="13"/>
      <c r="H8" s="13"/>
      <c r="I8" s="13"/>
      <c r="J8" s="13"/>
      <c r="K8" s="271"/>
      <c r="L8" s="16"/>
      <c r="M8" s="16"/>
    </row>
    <row r="9" spans="1:14" s="90" customFormat="1" ht="20.100000000000001" customHeight="1" x14ac:dyDescent="0.2">
      <c r="A9" s="568">
        <v>6172</v>
      </c>
      <c r="B9" s="626" t="s">
        <v>105</v>
      </c>
      <c r="C9" s="562">
        <v>100</v>
      </c>
      <c r="D9" s="569">
        <v>0</v>
      </c>
      <c r="E9" s="562">
        <v>120</v>
      </c>
      <c r="F9" s="565">
        <v>120</v>
      </c>
      <c r="G9" s="570">
        <v>0</v>
      </c>
      <c r="H9" s="1084">
        <v>0</v>
      </c>
      <c r="I9" s="1085">
        <v>0</v>
      </c>
      <c r="J9" s="1086">
        <v>120</v>
      </c>
      <c r="K9" s="904">
        <f>SUM(H9:J9)</f>
        <v>120</v>
      </c>
      <c r="L9" s="458">
        <f>K9/E9*100</f>
        <v>100</v>
      </c>
      <c r="M9" s="459">
        <f>K9/F9*100</f>
        <v>100</v>
      </c>
      <c r="N9" s="648"/>
    </row>
    <row r="10" spans="1:14" s="90" customFormat="1" ht="20.100000000000001" customHeight="1" x14ac:dyDescent="0.2">
      <c r="A10" s="481">
        <v>6310</v>
      </c>
      <c r="B10" s="625" t="s">
        <v>106</v>
      </c>
      <c r="C10" s="494">
        <v>450</v>
      </c>
      <c r="D10" s="518">
        <v>408.44</v>
      </c>
      <c r="E10" s="494">
        <v>550</v>
      </c>
      <c r="F10" s="496">
        <v>550</v>
      </c>
      <c r="G10" s="504">
        <v>285.76</v>
      </c>
      <c r="H10" s="1081">
        <v>450</v>
      </c>
      <c r="I10" s="1082">
        <v>100</v>
      </c>
      <c r="J10" s="1083">
        <v>0</v>
      </c>
      <c r="K10" s="1065">
        <f>SUM(H10:J10)</f>
        <v>550</v>
      </c>
      <c r="L10" s="476">
        <f>K10/E10*100</f>
        <v>100</v>
      </c>
      <c r="M10" s="477">
        <f>K10/F10*100</f>
        <v>100</v>
      </c>
      <c r="N10" s="648"/>
    </row>
    <row r="11" spans="1:14" s="90" customFormat="1" ht="20.100000000000001" customHeight="1" thickBot="1" x14ac:dyDescent="0.25">
      <c r="A11" s="481">
        <v>6399</v>
      </c>
      <c r="B11" s="627" t="s">
        <v>107</v>
      </c>
      <c r="C11" s="471">
        <v>8000</v>
      </c>
      <c r="D11" s="472">
        <v>19891.400000000001</v>
      </c>
      <c r="E11" s="471">
        <v>8480</v>
      </c>
      <c r="F11" s="474">
        <v>44801.49</v>
      </c>
      <c r="G11" s="475">
        <v>38366.17</v>
      </c>
      <c r="H11" s="530">
        <v>8572</v>
      </c>
      <c r="I11" s="905">
        <v>0</v>
      </c>
      <c r="J11" s="1087">
        <v>0</v>
      </c>
      <c r="K11" s="1065">
        <f>SUM(H11:J11)</f>
        <v>8572</v>
      </c>
      <c r="L11" s="476">
        <f>K11/E11*100</f>
        <v>101.08490566037736</v>
      </c>
      <c r="M11" s="477">
        <f>K11/F11*100</f>
        <v>19.133292218629336</v>
      </c>
      <c r="N11" s="648"/>
    </row>
    <row r="12" spans="1:14" ht="20.100000000000001" customHeight="1" thickBot="1" x14ac:dyDescent="0.25">
      <c r="A12" s="182"/>
      <c r="B12" s="417" t="s">
        <v>85</v>
      </c>
      <c r="C12" s="183">
        <f t="shared" ref="C12:K12" si="0">SUM(C9:C11)</f>
        <v>8550</v>
      </c>
      <c r="D12" s="184">
        <f t="shared" si="0"/>
        <v>20299.84</v>
      </c>
      <c r="E12" s="183">
        <f t="shared" si="0"/>
        <v>9150</v>
      </c>
      <c r="F12" s="185">
        <f t="shared" si="0"/>
        <v>45471.49</v>
      </c>
      <c r="G12" s="184">
        <f t="shared" si="0"/>
        <v>38651.93</v>
      </c>
      <c r="H12" s="183">
        <f t="shared" si="0"/>
        <v>9022</v>
      </c>
      <c r="I12" s="982">
        <f t="shared" si="0"/>
        <v>100</v>
      </c>
      <c r="J12" s="1088">
        <f t="shared" si="0"/>
        <v>120</v>
      </c>
      <c r="K12" s="1067">
        <f t="shared" si="0"/>
        <v>9242</v>
      </c>
      <c r="L12" s="414">
        <f>K12/E12*100</f>
        <v>101.00546448087431</v>
      </c>
      <c r="M12" s="771">
        <f>K12/F12*100</f>
        <v>20.324823312365616</v>
      </c>
      <c r="N12" s="17"/>
    </row>
    <row r="14" spans="1:14" x14ac:dyDescent="0.2">
      <c r="C14" s="3"/>
      <c r="E14" s="3"/>
      <c r="K14" s="3"/>
    </row>
  </sheetData>
  <mergeCells count="8">
    <mergeCell ref="A2:M2"/>
    <mergeCell ref="C6:D6"/>
    <mergeCell ref="E6:G6"/>
    <mergeCell ref="L6:L7"/>
    <mergeCell ref="M6:M7"/>
    <mergeCell ref="A6:A7"/>
    <mergeCell ref="B6:B7"/>
    <mergeCell ref="H6:K6"/>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43"/>
  <sheetViews>
    <sheetView zoomScaleNormal="100" workbookViewId="0"/>
  </sheetViews>
  <sheetFormatPr defaultColWidth="9.140625" defaultRowHeight="15" x14ac:dyDescent="0.2"/>
  <cols>
    <col min="1" max="1" width="72.7109375" style="176" customWidth="1"/>
    <col min="2" max="6" width="16.7109375" style="619" customWidth="1"/>
    <col min="7" max="7" width="18.5703125" style="217" customWidth="1"/>
    <col min="8" max="8" width="10.7109375" style="739" customWidth="1"/>
    <col min="9" max="9" width="11.28515625" style="1018" bestFit="1" customWidth="1"/>
    <col min="10" max="10" width="11.42578125" style="71" bestFit="1" customWidth="1"/>
    <col min="11" max="16384" width="9.140625" style="71"/>
  </cols>
  <sheetData>
    <row r="1" spans="1:9" ht="15" customHeight="1" x14ac:dyDescent="0.2">
      <c r="H1" s="733"/>
    </row>
    <row r="2" spans="1:9" s="57" customFormat="1" ht="24" customHeight="1" x14ac:dyDescent="0.2">
      <c r="A2" s="707" t="s">
        <v>486</v>
      </c>
      <c r="B2" s="624"/>
      <c r="C2" s="624"/>
      <c r="D2" s="624"/>
      <c r="E2" s="624"/>
      <c r="F2" s="624"/>
      <c r="G2" s="667"/>
      <c r="I2" s="1019"/>
    </row>
    <row r="3" spans="1:9" ht="15" customHeight="1" x14ac:dyDescent="0.2">
      <c r="A3" s="713"/>
      <c r="B3" s="331"/>
      <c r="C3" s="331"/>
      <c r="D3" s="331"/>
      <c r="E3" s="331"/>
      <c r="F3" s="331"/>
      <c r="H3" s="71"/>
    </row>
    <row r="4" spans="1:9" ht="20.100000000000001" customHeight="1" x14ac:dyDescent="0.2">
      <c r="A4" s="713" t="s">
        <v>40</v>
      </c>
      <c r="B4" s="331"/>
      <c r="C4" s="331"/>
      <c r="D4" s="331"/>
      <c r="E4" s="331"/>
      <c r="F4" s="331"/>
      <c r="H4" s="71"/>
    </row>
    <row r="5" spans="1:9" ht="15" customHeight="1" x14ac:dyDescent="0.2">
      <c r="A5" s="713"/>
      <c r="B5" s="331"/>
      <c r="C5" s="331"/>
      <c r="D5" s="331"/>
      <c r="E5" s="331"/>
      <c r="F5" s="331"/>
      <c r="H5" s="71"/>
    </row>
    <row r="6" spans="1:9" ht="15" customHeight="1" thickBot="1" x14ac:dyDescent="0.25">
      <c r="B6" s="734"/>
      <c r="C6" s="734"/>
      <c r="D6" s="734"/>
      <c r="E6" s="734"/>
      <c r="F6" s="734"/>
      <c r="H6" s="177" t="s">
        <v>0</v>
      </c>
    </row>
    <row r="7" spans="1:9" s="34" customFormat="1" ht="15.95" customHeight="1" x14ac:dyDescent="0.2">
      <c r="A7" s="1226" t="s">
        <v>1</v>
      </c>
      <c r="B7" s="1208" t="s">
        <v>283</v>
      </c>
      <c r="C7" s="1209"/>
      <c r="D7" s="1208" t="s">
        <v>390</v>
      </c>
      <c r="E7" s="1212"/>
      <c r="F7" s="1209"/>
      <c r="G7" s="1213" t="s">
        <v>484</v>
      </c>
      <c r="H7" s="1215" t="s">
        <v>485</v>
      </c>
    </row>
    <row r="8" spans="1:9" s="34" customFormat="1" ht="30.75" thickBot="1" x14ac:dyDescent="0.25">
      <c r="A8" s="1227"/>
      <c r="B8" s="267" t="s">
        <v>109</v>
      </c>
      <c r="C8" s="272" t="s">
        <v>110</v>
      </c>
      <c r="D8" s="267" t="s">
        <v>109</v>
      </c>
      <c r="E8" s="268" t="s">
        <v>586</v>
      </c>
      <c r="F8" s="269" t="s">
        <v>587</v>
      </c>
      <c r="G8" s="1214"/>
      <c r="H8" s="1216"/>
    </row>
    <row r="9" spans="1:9" s="34" customFormat="1" ht="20.25" customHeight="1" x14ac:dyDescent="0.2">
      <c r="A9" s="1223" t="s">
        <v>2</v>
      </c>
      <c r="B9" s="1224"/>
      <c r="C9" s="1224"/>
      <c r="D9" s="1224"/>
      <c r="E9" s="1224"/>
      <c r="F9" s="1224"/>
      <c r="G9" s="1224"/>
      <c r="H9" s="1225"/>
    </row>
    <row r="10" spans="1:9" s="34" customFormat="1" ht="20.100000000000001" customHeight="1" x14ac:dyDescent="0.2">
      <c r="A10" s="218" t="s">
        <v>3</v>
      </c>
      <c r="B10" s="219">
        <v>10900000</v>
      </c>
      <c r="C10" s="220">
        <v>12925550.25</v>
      </c>
      <c r="D10" s="219">
        <v>13500000</v>
      </c>
      <c r="E10" s="221">
        <v>13529210.220000001</v>
      </c>
      <c r="F10" s="220">
        <v>11086928.92</v>
      </c>
      <c r="G10" s="103">
        <v>15000000</v>
      </c>
      <c r="H10" s="226">
        <f t="shared" ref="H10:H27" si="0">G10/D10*100</f>
        <v>111.11111111111111</v>
      </c>
    </row>
    <row r="11" spans="1:9" s="34" customFormat="1" ht="20.100000000000001" customHeight="1" x14ac:dyDescent="0.2">
      <c r="A11" s="218" t="s">
        <v>56</v>
      </c>
      <c r="B11" s="219">
        <v>2500</v>
      </c>
      <c r="C11" s="220">
        <v>5759.04</v>
      </c>
      <c r="D11" s="219">
        <v>4000</v>
      </c>
      <c r="E11" s="221">
        <v>4000</v>
      </c>
      <c r="F11" s="220">
        <v>4623.8999999999996</v>
      </c>
      <c r="G11" s="103">
        <v>4000</v>
      </c>
      <c r="H11" s="226">
        <f t="shared" si="0"/>
        <v>100</v>
      </c>
    </row>
    <row r="12" spans="1:9" s="34" customFormat="1" ht="20.100000000000001" customHeight="1" x14ac:dyDescent="0.2">
      <c r="A12" s="218" t="s">
        <v>89</v>
      </c>
      <c r="B12" s="219">
        <v>11000</v>
      </c>
      <c r="C12" s="220">
        <v>12472.62</v>
      </c>
      <c r="D12" s="219">
        <v>10000</v>
      </c>
      <c r="E12" s="221">
        <v>10000</v>
      </c>
      <c r="F12" s="220">
        <v>16097.58</v>
      </c>
      <c r="G12" s="103">
        <v>12000</v>
      </c>
      <c r="H12" s="226">
        <f t="shared" si="0"/>
        <v>120</v>
      </c>
    </row>
    <row r="13" spans="1:9" s="735" customFormat="1" ht="20.100000000000001" customHeight="1" x14ac:dyDescent="0.2">
      <c r="A13" s="218" t="s">
        <v>353</v>
      </c>
      <c r="B13" s="219">
        <v>50000</v>
      </c>
      <c r="C13" s="220">
        <v>68195.87</v>
      </c>
      <c r="D13" s="219">
        <v>50000</v>
      </c>
      <c r="E13" s="221">
        <v>59818.48</v>
      </c>
      <c r="F13" s="220">
        <v>66756.210000000006</v>
      </c>
      <c r="G13" s="103">
        <v>55000</v>
      </c>
      <c r="H13" s="226">
        <f t="shared" si="0"/>
        <v>110.00000000000001</v>
      </c>
    </row>
    <row r="14" spans="1:9" s="34" customFormat="1" ht="20.100000000000001" customHeight="1" x14ac:dyDescent="0.2">
      <c r="A14" s="218" t="s">
        <v>4</v>
      </c>
      <c r="B14" s="219">
        <v>10000</v>
      </c>
      <c r="C14" s="220">
        <v>70454.2</v>
      </c>
      <c r="D14" s="219">
        <v>30000</v>
      </c>
      <c r="E14" s="221">
        <v>30020</v>
      </c>
      <c r="F14" s="220">
        <v>118004.82</v>
      </c>
      <c r="G14" s="103">
        <v>60000</v>
      </c>
      <c r="H14" s="226">
        <f t="shared" si="0"/>
        <v>200</v>
      </c>
    </row>
    <row r="15" spans="1:9" s="34" customFormat="1" ht="20.100000000000001" customHeight="1" x14ac:dyDescent="0.2">
      <c r="A15" s="218" t="s">
        <v>5</v>
      </c>
      <c r="B15" s="219">
        <v>0</v>
      </c>
      <c r="C15" s="220">
        <v>27534.17</v>
      </c>
      <c r="D15" s="219">
        <v>0</v>
      </c>
      <c r="E15" s="221">
        <v>0</v>
      </c>
      <c r="F15" s="220">
        <v>19750.36</v>
      </c>
      <c r="G15" s="103">
        <v>0</v>
      </c>
      <c r="H15" s="226" t="s">
        <v>60</v>
      </c>
    </row>
    <row r="16" spans="1:9" s="34" customFormat="1" ht="30" customHeight="1" x14ac:dyDescent="0.2">
      <c r="A16" s="218" t="s">
        <v>281</v>
      </c>
      <c r="B16" s="219">
        <v>78034</v>
      </c>
      <c r="C16" s="220">
        <v>68029.88</v>
      </c>
      <c r="D16" s="219">
        <v>78034</v>
      </c>
      <c r="E16" s="221">
        <v>78034</v>
      </c>
      <c r="F16" s="220">
        <v>49909.91</v>
      </c>
      <c r="G16" s="103">
        <v>19508</v>
      </c>
      <c r="H16" s="226">
        <f t="shared" si="0"/>
        <v>24.999359253658664</v>
      </c>
    </row>
    <row r="17" spans="1:10" s="34" customFormat="1" ht="20.100000000000001" customHeight="1" x14ac:dyDescent="0.2">
      <c r="A17" s="218" t="s">
        <v>361</v>
      </c>
      <c r="B17" s="219">
        <v>5000</v>
      </c>
      <c r="C17" s="220">
        <v>36223.269999999997</v>
      </c>
      <c r="D17" s="219">
        <v>5000</v>
      </c>
      <c r="E17" s="221">
        <v>5316.94</v>
      </c>
      <c r="F17" s="220">
        <v>18343.150000000001</v>
      </c>
      <c r="G17" s="103">
        <v>5000</v>
      </c>
      <c r="H17" s="226">
        <f t="shared" si="0"/>
        <v>100</v>
      </c>
    </row>
    <row r="18" spans="1:10" s="34" customFormat="1" ht="20.100000000000001" customHeight="1" x14ac:dyDescent="0.2">
      <c r="A18" s="218" t="s">
        <v>63</v>
      </c>
      <c r="B18" s="219">
        <v>0</v>
      </c>
      <c r="C18" s="220">
        <v>496208.04</v>
      </c>
      <c r="D18" s="219">
        <v>0</v>
      </c>
      <c r="E18" s="221">
        <v>531833.99</v>
      </c>
      <c r="F18" s="221">
        <v>668498.87</v>
      </c>
      <c r="G18" s="103">
        <v>0</v>
      </c>
      <c r="H18" s="226" t="s">
        <v>60</v>
      </c>
    </row>
    <row r="19" spans="1:10" s="34" customFormat="1" ht="20.100000000000001" customHeight="1" x14ac:dyDescent="0.2">
      <c r="A19" s="218" t="s">
        <v>6</v>
      </c>
      <c r="B19" s="219">
        <v>8000</v>
      </c>
      <c r="C19" s="220">
        <v>58962.78</v>
      </c>
      <c r="D19" s="219">
        <v>16000</v>
      </c>
      <c r="E19" s="221">
        <v>16000</v>
      </c>
      <c r="F19" s="220">
        <v>22811.38</v>
      </c>
      <c r="G19" s="103">
        <v>17000</v>
      </c>
      <c r="H19" s="226">
        <f t="shared" si="0"/>
        <v>106.25</v>
      </c>
    </row>
    <row r="20" spans="1:10" s="34" customFormat="1" ht="30" customHeight="1" x14ac:dyDescent="0.2">
      <c r="A20" s="218" t="s">
        <v>7</v>
      </c>
      <c r="B20" s="219">
        <v>190304.2</v>
      </c>
      <c r="C20" s="220">
        <v>190304.2</v>
      </c>
      <c r="D20" s="219">
        <v>208661.3</v>
      </c>
      <c r="E20" s="221">
        <v>208661.3</v>
      </c>
      <c r="F20" s="220">
        <v>156495.98000000001</v>
      </c>
      <c r="G20" s="103">
        <v>214000.8</v>
      </c>
      <c r="H20" s="226">
        <f t="shared" si="0"/>
        <v>102.55893162747476</v>
      </c>
    </row>
    <row r="21" spans="1:10" s="34" customFormat="1" ht="30" customHeight="1" x14ac:dyDescent="0.2">
      <c r="A21" s="218" t="s">
        <v>582</v>
      </c>
      <c r="B21" s="219">
        <v>1201165</v>
      </c>
      <c r="C21" s="220">
        <v>637923.75</v>
      </c>
      <c r="D21" s="219">
        <v>1530624</v>
      </c>
      <c r="E21" s="221">
        <v>1405410.48</v>
      </c>
      <c r="F21" s="220">
        <v>275601.99</v>
      </c>
      <c r="G21" s="103">
        <f>'Projekty EU a NZ'!I21+'Projekty EU a NZ'!I41</f>
        <v>641609</v>
      </c>
      <c r="H21" s="226">
        <f t="shared" ref="H21:H22" si="1">G21/D21*100</f>
        <v>41.918132735407262</v>
      </c>
      <c r="I21" s="33"/>
      <c r="J21" s="33"/>
    </row>
    <row r="22" spans="1:10" s="34" customFormat="1" ht="30" customHeight="1" x14ac:dyDescent="0.2">
      <c r="A22" s="218" t="s">
        <v>583</v>
      </c>
      <c r="B22" s="219">
        <v>19904</v>
      </c>
      <c r="C22" s="220">
        <v>3713.76</v>
      </c>
      <c r="D22" s="219">
        <v>92196</v>
      </c>
      <c r="E22" s="221">
        <v>82030.22</v>
      </c>
      <c r="F22" s="220">
        <v>8334.99</v>
      </c>
      <c r="G22" s="103">
        <f>'Projekty EU a NZ'!I60</f>
        <v>26223</v>
      </c>
      <c r="H22" s="226">
        <f t="shared" si="1"/>
        <v>28.442665625406743</v>
      </c>
      <c r="I22" s="33"/>
    </row>
    <row r="23" spans="1:10" s="34" customFormat="1" ht="20.100000000000001" customHeight="1" x14ac:dyDescent="0.2">
      <c r="A23" s="218" t="s">
        <v>8</v>
      </c>
      <c r="B23" s="219">
        <v>23245000</v>
      </c>
      <c r="C23" s="220">
        <f>1374765.5+21996067.81</f>
        <v>23370833.309999999</v>
      </c>
      <c r="D23" s="219">
        <v>26225000</v>
      </c>
      <c r="E23" s="221">
        <v>25971265.079999998</v>
      </c>
      <c r="F23" s="220">
        <v>20787442.629999999</v>
      </c>
      <c r="G23" s="103">
        <v>27760000</v>
      </c>
      <c r="H23" s="226">
        <f t="shared" si="0"/>
        <v>105.85319351763584</v>
      </c>
      <c r="I23" s="33"/>
    </row>
    <row r="24" spans="1:10" s="34" customFormat="1" ht="20.100000000000001" customHeight="1" x14ac:dyDescent="0.2">
      <c r="A24" s="218" t="s">
        <v>530</v>
      </c>
      <c r="B24" s="219">
        <v>0</v>
      </c>
      <c r="C24" s="220">
        <v>537988.21</v>
      </c>
      <c r="D24" s="219">
        <v>0</v>
      </c>
      <c r="E24" s="221">
        <v>558431.76</v>
      </c>
      <c r="F24" s="220">
        <v>418824</v>
      </c>
      <c r="G24" s="103">
        <v>642754</v>
      </c>
      <c r="H24" s="226" t="s">
        <v>60</v>
      </c>
    </row>
    <row r="25" spans="1:10" s="34" customFormat="1" ht="20.100000000000001" customHeight="1" x14ac:dyDescent="0.2">
      <c r="A25" s="218" t="s">
        <v>584</v>
      </c>
      <c r="B25" s="219">
        <v>0</v>
      </c>
      <c r="C25" s="220">
        <v>2427689.2999999998</v>
      </c>
      <c r="D25" s="219">
        <v>0</v>
      </c>
      <c r="E25" s="221">
        <v>2714194.06</v>
      </c>
      <c r="F25" s="220">
        <v>2714695.1</v>
      </c>
      <c r="G25" s="103">
        <v>2741336</v>
      </c>
      <c r="H25" s="226" t="s">
        <v>60</v>
      </c>
    </row>
    <row r="26" spans="1:10" s="618" customFormat="1" ht="20.100000000000001" customHeight="1" x14ac:dyDescent="0.2">
      <c r="A26" s="218" t="s">
        <v>61</v>
      </c>
      <c r="B26" s="219">
        <v>0</v>
      </c>
      <c r="C26" s="220">
        <v>4446197.4400000004</v>
      </c>
      <c r="D26" s="219">
        <v>0</v>
      </c>
      <c r="E26" s="221">
        <v>4454361.5899999971</v>
      </c>
      <c r="F26" s="221">
        <v>3563286.5800000029</v>
      </c>
      <c r="G26" s="103">
        <v>0</v>
      </c>
      <c r="H26" s="226" t="s">
        <v>60</v>
      </c>
      <c r="I26" s="34"/>
    </row>
    <row r="27" spans="1:10" s="618" customFormat="1" ht="20.100000000000001" customHeight="1" x14ac:dyDescent="0.2">
      <c r="A27" s="227" t="s">
        <v>405</v>
      </c>
      <c r="B27" s="228">
        <v>0</v>
      </c>
      <c r="C27" s="229">
        <v>207453.12</v>
      </c>
      <c r="D27" s="228">
        <v>220000</v>
      </c>
      <c r="E27" s="230">
        <v>220000</v>
      </c>
      <c r="F27" s="229">
        <v>140225.67000000001</v>
      </c>
      <c r="G27" s="104">
        <v>220000</v>
      </c>
      <c r="H27" s="226">
        <f t="shared" si="0"/>
        <v>100</v>
      </c>
      <c r="I27" s="34"/>
    </row>
    <row r="28" spans="1:10" s="618" customFormat="1" ht="20.100000000000001" customHeight="1" x14ac:dyDescent="0.2">
      <c r="A28" s="227" t="s">
        <v>406</v>
      </c>
      <c r="B28" s="228">
        <v>0</v>
      </c>
      <c r="C28" s="229">
        <v>41131.269999999997</v>
      </c>
      <c r="D28" s="228">
        <v>50000</v>
      </c>
      <c r="E28" s="230">
        <v>50000</v>
      </c>
      <c r="F28" s="229">
        <v>29722.959999999999</v>
      </c>
      <c r="G28" s="104">
        <v>53000</v>
      </c>
      <c r="H28" s="226">
        <f>G28/D28*100</f>
        <v>106</v>
      </c>
      <c r="I28" s="34"/>
    </row>
    <row r="29" spans="1:10" s="618" customFormat="1" ht="20.100000000000001" customHeight="1" x14ac:dyDescent="0.2">
      <c r="A29" s="227" t="s">
        <v>528</v>
      </c>
      <c r="B29" s="228">
        <v>0</v>
      </c>
      <c r="C29" s="229">
        <v>0</v>
      </c>
      <c r="D29" s="228">
        <v>0</v>
      </c>
      <c r="E29" s="230">
        <v>0</v>
      </c>
      <c r="F29" s="229">
        <v>0</v>
      </c>
      <c r="G29" s="104">
        <v>78913</v>
      </c>
      <c r="H29" s="226" t="s">
        <v>60</v>
      </c>
      <c r="I29" s="34"/>
    </row>
    <row r="30" spans="1:10" s="618" customFormat="1" ht="20.100000000000001" customHeight="1" x14ac:dyDescent="0.2">
      <c r="A30" s="227" t="s">
        <v>529</v>
      </c>
      <c r="B30" s="228">
        <v>0</v>
      </c>
      <c r="C30" s="229">
        <v>0</v>
      </c>
      <c r="D30" s="228">
        <v>0</v>
      </c>
      <c r="E30" s="230">
        <v>0</v>
      </c>
      <c r="F30" s="229">
        <v>0</v>
      </c>
      <c r="G30" s="104">
        <v>251886</v>
      </c>
      <c r="H30" s="226" t="s">
        <v>60</v>
      </c>
      <c r="I30" s="34"/>
    </row>
    <row r="31" spans="1:10" s="34" customFormat="1" ht="20.100000000000001" customHeight="1" thickBot="1" x14ac:dyDescent="0.25">
      <c r="A31" s="227" t="s">
        <v>62</v>
      </c>
      <c r="B31" s="228">
        <v>0</v>
      </c>
      <c r="C31" s="229">
        <v>909.12</v>
      </c>
      <c r="D31" s="228">
        <v>0</v>
      </c>
      <c r="E31" s="230">
        <v>1891.33</v>
      </c>
      <c r="F31" s="229">
        <v>1909.17</v>
      </c>
      <c r="G31" s="104">
        <v>0</v>
      </c>
      <c r="H31" s="226" t="s">
        <v>60</v>
      </c>
    </row>
    <row r="32" spans="1:10" s="34" customFormat="1" ht="20.25" customHeight="1" thickBot="1" x14ac:dyDescent="0.25">
      <c r="A32" s="656" t="s">
        <v>9</v>
      </c>
      <c r="B32" s="657">
        <f t="shared" ref="B32:G32" si="2">SUM(B10:B31)</f>
        <v>35720907.200000003</v>
      </c>
      <c r="C32" s="658">
        <f t="shared" si="2"/>
        <v>45633533.599999987</v>
      </c>
      <c r="D32" s="657">
        <f t="shared" si="2"/>
        <v>42019515.299999997</v>
      </c>
      <c r="E32" s="659">
        <f t="shared" si="2"/>
        <v>49930479.449999996</v>
      </c>
      <c r="F32" s="658">
        <f t="shared" si="2"/>
        <v>40168264.170000009</v>
      </c>
      <c r="G32" s="147">
        <f t="shared" si="2"/>
        <v>47802229.799999997</v>
      </c>
      <c r="H32" s="660">
        <f>G32/D32*100</f>
        <v>113.7619733562229</v>
      </c>
    </row>
    <row r="33" spans="1:10" s="34" customFormat="1" ht="6.75" customHeight="1" thickBot="1" x14ac:dyDescent="0.25">
      <c r="A33" s="176"/>
      <c r="B33" s="33"/>
      <c r="C33" s="33"/>
      <c r="D33" s="33"/>
      <c r="E33" s="33"/>
      <c r="F33" s="33"/>
      <c r="G33" s="33"/>
      <c r="H33" s="177"/>
    </row>
    <row r="34" spans="1:10" s="34" customFormat="1" ht="28.5" customHeight="1" x14ac:dyDescent="0.2">
      <c r="A34" s="1223" t="s">
        <v>10</v>
      </c>
      <c r="B34" s="1224"/>
      <c r="C34" s="1224"/>
      <c r="D34" s="1224"/>
      <c r="E34" s="1224"/>
      <c r="F34" s="1224"/>
      <c r="G34" s="1224"/>
      <c r="H34" s="1225"/>
    </row>
    <row r="35" spans="1:10" s="34" customFormat="1" ht="20.100000000000001" customHeight="1" x14ac:dyDescent="0.2">
      <c r="A35" s="218" t="s">
        <v>94</v>
      </c>
      <c r="B35" s="219">
        <v>1500000</v>
      </c>
      <c r="C35" s="220">
        <v>140106.82999999999</v>
      </c>
      <c r="D35" s="219">
        <v>0</v>
      </c>
      <c r="E35" s="221">
        <v>3857952.0200000005</v>
      </c>
      <c r="F35" s="221">
        <v>591925.04</v>
      </c>
      <c r="G35" s="103">
        <v>0</v>
      </c>
      <c r="H35" s="226" t="s">
        <v>60</v>
      </c>
    </row>
    <row r="36" spans="1:10" s="34" customFormat="1" ht="30" customHeight="1" x14ac:dyDescent="0.2">
      <c r="A36" s="218" t="s">
        <v>365</v>
      </c>
      <c r="B36" s="219">
        <v>10000</v>
      </c>
      <c r="C36" s="220">
        <v>10000</v>
      </c>
      <c r="D36" s="219">
        <v>10000</v>
      </c>
      <c r="E36" s="221">
        <v>10822.01</v>
      </c>
      <c r="F36" s="758">
        <v>10822.01</v>
      </c>
      <c r="G36" s="103">
        <v>10000</v>
      </c>
      <c r="H36" s="226">
        <f t="shared" ref="H36:H40" si="3">G36/D36*100</f>
        <v>100</v>
      </c>
    </row>
    <row r="37" spans="1:10" s="34" customFormat="1" ht="30" customHeight="1" x14ac:dyDescent="0.2">
      <c r="A37" s="218" t="s">
        <v>569</v>
      </c>
      <c r="B37" s="219">
        <v>0</v>
      </c>
      <c r="C37" s="220">
        <v>0</v>
      </c>
      <c r="D37" s="219">
        <v>0</v>
      </c>
      <c r="E37" s="221">
        <v>24152.86</v>
      </c>
      <c r="F37" s="758">
        <v>24152.86</v>
      </c>
      <c r="G37" s="103">
        <f>+G79-G16</f>
        <v>19562</v>
      </c>
      <c r="H37" s="226" t="s">
        <v>60</v>
      </c>
    </row>
    <row r="38" spans="1:10" s="34" customFormat="1" ht="30" customHeight="1" x14ac:dyDescent="0.2">
      <c r="A38" s="1174" t="s">
        <v>480</v>
      </c>
      <c r="B38" s="1175">
        <v>1856703</v>
      </c>
      <c r="C38" s="1176">
        <v>500000</v>
      </c>
      <c r="D38" s="1175">
        <v>1579703</v>
      </c>
      <c r="E38" s="1177">
        <v>1579703</v>
      </c>
      <c r="F38" s="1176">
        <v>285000</v>
      </c>
      <c r="G38" s="1173">
        <f>+G54+G59</f>
        <v>1006026</v>
      </c>
      <c r="H38" s="226">
        <f t="shared" si="3"/>
        <v>63.68450271981505</v>
      </c>
    </row>
    <row r="39" spans="1:10" s="34" customFormat="1" ht="30" customHeight="1" x14ac:dyDescent="0.2">
      <c r="A39" s="807" t="s">
        <v>345</v>
      </c>
      <c r="B39" s="595">
        <v>2000000</v>
      </c>
      <c r="C39" s="596">
        <v>0</v>
      </c>
      <c r="D39" s="595">
        <v>385472</v>
      </c>
      <c r="E39" s="597">
        <v>385472</v>
      </c>
      <c r="F39" s="596">
        <v>0</v>
      </c>
      <c r="G39" s="598">
        <f>+G98</f>
        <v>377022</v>
      </c>
      <c r="H39" s="226">
        <f t="shared" si="3"/>
        <v>97.807882284575797</v>
      </c>
    </row>
    <row r="40" spans="1:10" s="101" customFormat="1" ht="30" customHeight="1" x14ac:dyDescent="0.2">
      <c r="A40" s="809" t="s">
        <v>346</v>
      </c>
      <c r="B40" s="599">
        <v>1437025</v>
      </c>
      <c r="C40" s="600">
        <v>0</v>
      </c>
      <c r="D40" s="599">
        <v>1389497</v>
      </c>
      <c r="E40" s="601">
        <v>1389497</v>
      </c>
      <c r="F40" s="600">
        <v>0</v>
      </c>
      <c r="G40" s="602">
        <f>+G115</f>
        <v>575227</v>
      </c>
      <c r="H40" s="226">
        <f t="shared" si="3"/>
        <v>41.3982182041415</v>
      </c>
      <c r="I40" s="34"/>
    </row>
    <row r="41" spans="1:10" s="34" customFormat="1" ht="20.100000000000001" customHeight="1" x14ac:dyDescent="0.2">
      <c r="A41" s="218" t="s">
        <v>442</v>
      </c>
      <c r="B41" s="219">
        <v>0</v>
      </c>
      <c r="C41" s="220">
        <v>400000</v>
      </c>
      <c r="D41" s="219">
        <v>0</v>
      </c>
      <c r="E41" s="221">
        <v>0</v>
      </c>
      <c r="F41" s="220">
        <v>0</v>
      </c>
      <c r="G41" s="103">
        <v>0</v>
      </c>
      <c r="H41" s="226" t="s">
        <v>60</v>
      </c>
    </row>
    <row r="42" spans="1:10" s="34" customFormat="1" ht="20.100000000000001" customHeight="1" thickBot="1" x14ac:dyDescent="0.25">
      <c r="A42" s="222" t="s">
        <v>233</v>
      </c>
      <c r="B42" s="223">
        <v>0</v>
      </c>
      <c r="C42" s="224">
        <v>6429.24</v>
      </c>
      <c r="D42" s="223">
        <v>0</v>
      </c>
      <c r="E42" s="225">
        <v>0</v>
      </c>
      <c r="F42" s="224">
        <v>0</v>
      </c>
      <c r="G42" s="178">
        <v>0</v>
      </c>
      <c r="H42" s="226" t="s">
        <v>60</v>
      </c>
    </row>
    <row r="43" spans="1:10" s="34" customFormat="1" ht="20.25" customHeight="1" thickBot="1" x14ac:dyDescent="0.25">
      <c r="A43" s="210" t="s">
        <v>11</v>
      </c>
      <c r="B43" s="211">
        <f t="shared" ref="B43:G43" si="4">SUM(B32:B42)</f>
        <v>42524635.200000003</v>
      </c>
      <c r="C43" s="212">
        <f t="shared" si="4"/>
        <v>46690069.669999987</v>
      </c>
      <c r="D43" s="211">
        <f t="shared" si="4"/>
        <v>45384187.299999997</v>
      </c>
      <c r="E43" s="213">
        <f t="shared" si="4"/>
        <v>57178078.339999996</v>
      </c>
      <c r="F43" s="212">
        <f t="shared" si="4"/>
        <v>41080164.080000006</v>
      </c>
      <c r="G43" s="147">
        <f t="shared" si="4"/>
        <v>49790066.799999997</v>
      </c>
      <c r="H43" s="1183">
        <f>G43/D43*100</f>
        <v>109.70796165386001</v>
      </c>
      <c r="I43" s="33"/>
    </row>
    <row r="44" spans="1:10" ht="20.100000000000001" customHeight="1" thickBot="1" x14ac:dyDescent="0.25">
      <c r="B44" s="33"/>
      <c r="C44" s="33"/>
      <c r="D44" s="33"/>
      <c r="E44" s="33"/>
      <c r="F44" s="33"/>
      <c r="G44" s="33"/>
      <c r="H44" s="177"/>
    </row>
    <row r="45" spans="1:10" ht="20.100000000000001" customHeight="1" x14ac:dyDescent="0.2">
      <c r="A45" s="1217" t="s">
        <v>12</v>
      </c>
      <c r="B45" s="1218"/>
      <c r="C45" s="1218"/>
      <c r="D45" s="1218"/>
      <c r="E45" s="1218"/>
      <c r="F45" s="1218"/>
      <c r="G45" s="1218"/>
      <c r="H45" s="1219"/>
    </row>
    <row r="46" spans="1:10" ht="20.100000000000001" customHeight="1" x14ac:dyDescent="0.2">
      <c r="A46" s="234" t="s">
        <v>13</v>
      </c>
      <c r="B46" s="235">
        <f>+'Běžné výdaje kapitol'!B35</f>
        <v>8788930</v>
      </c>
      <c r="C46" s="236">
        <f>+'Běžné výdaje kapitol'!C35</f>
        <v>10124564.572999999</v>
      </c>
      <c r="D46" s="235">
        <f>+'Běžné výdaje kapitol'!D35</f>
        <v>10507832</v>
      </c>
      <c r="E46" s="237">
        <f>+'Běžné výdaje kapitol'!E35</f>
        <v>11929796.228</v>
      </c>
      <c r="F46" s="237">
        <f>+'Běžné výdaje kapitol'!F35</f>
        <v>9096117.1699999999</v>
      </c>
      <c r="G46" s="103">
        <f>+'Běžné výdaje kapitol'!G32</f>
        <v>12438008</v>
      </c>
      <c r="H46" s="242">
        <f>G46/D46*100</f>
        <v>118.36892710123269</v>
      </c>
      <c r="I46" s="1195"/>
      <c r="J46" s="331"/>
    </row>
    <row r="47" spans="1:10" ht="20.100000000000001" customHeight="1" x14ac:dyDescent="0.2">
      <c r="A47" s="234" t="s">
        <v>51</v>
      </c>
      <c r="B47" s="235">
        <f>+Fondy!C29</f>
        <v>663000</v>
      </c>
      <c r="C47" s="236">
        <f>+Fondy!D29</f>
        <v>656504.05999999994</v>
      </c>
      <c r="D47" s="235">
        <f>+Fondy!E29</f>
        <v>580700</v>
      </c>
      <c r="E47" s="237">
        <f>+Fondy!F29</f>
        <v>1042899.0399999999</v>
      </c>
      <c r="F47" s="237">
        <f>+Fondy!G29</f>
        <v>338344.08</v>
      </c>
      <c r="G47" s="103">
        <f>+Fondy!H29</f>
        <v>924400</v>
      </c>
      <c r="H47" s="242">
        <f>G47/D47*100</f>
        <v>159.18718787670053</v>
      </c>
      <c r="I47" s="1195"/>
    </row>
    <row r="48" spans="1:10" ht="60" x14ac:dyDescent="0.2">
      <c r="A48" s="234" t="s">
        <v>277</v>
      </c>
      <c r="B48" s="235">
        <v>0</v>
      </c>
      <c r="C48" s="236">
        <v>0</v>
      </c>
      <c r="D48" s="235">
        <v>0</v>
      </c>
      <c r="E48" s="237">
        <f>+Fondy!F32</f>
        <v>1250</v>
      </c>
      <c r="F48" s="237">
        <f>+Fondy!G32</f>
        <v>0</v>
      </c>
      <c r="G48" s="103">
        <v>0</v>
      </c>
      <c r="H48" s="242" t="s">
        <v>60</v>
      </c>
      <c r="I48" s="1195"/>
    </row>
    <row r="49" spans="1:10" ht="20.100000000000001" customHeight="1" x14ac:dyDescent="0.2">
      <c r="A49" s="234" t="s">
        <v>52</v>
      </c>
      <c r="B49" s="235">
        <v>10000</v>
      </c>
      <c r="C49" s="236">
        <v>1629.48</v>
      </c>
      <c r="D49" s="235">
        <v>10000</v>
      </c>
      <c r="E49" s="237">
        <v>10822.01</v>
      </c>
      <c r="F49" s="236">
        <v>0</v>
      </c>
      <c r="G49" s="103">
        <v>10000</v>
      </c>
      <c r="H49" s="242">
        <f t="shared" ref="H49:H68" si="5">G49/D49*100</f>
        <v>100</v>
      </c>
      <c r="I49" s="1195"/>
    </row>
    <row r="50" spans="1:10" ht="20.100000000000001" customHeight="1" x14ac:dyDescent="0.2">
      <c r="A50" s="234" t="s">
        <v>255</v>
      </c>
      <c r="B50" s="235">
        <v>20000</v>
      </c>
      <c r="C50" s="236">
        <v>14671.19</v>
      </c>
      <c r="D50" s="235">
        <v>20000</v>
      </c>
      <c r="E50" s="237">
        <v>49740.32</v>
      </c>
      <c r="F50" s="236">
        <v>907.15</v>
      </c>
      <c r="G50" s="103">
        <v>20000</v>
      </c>
      <c r="H50" s="242">
        <f t="shared" si="5"/>
        <v>100</v>
      </c>
      <c r="I50" s="1195"/>
    </row>
    <row r="51" spans="1:10" s="736" customFormat="1" ht="29.85" customHeight="1" x14ac:dyDescent="0.2">
      <c r="A51" s="234" t="s">
        <v>256</v>
      </c>
      <c r="B51" s="235">
        <v>0</v>
      </c>
      <c r="C51" s="797">
        <v>38410.79</v>
      </c>
      <c r="D51" s="235">
        <v>0</v>
      </c>
      <c r="E51" s="237">
        <v>4128.5600000000004</v>
      </c>
      <c r="F51" s="236">
        <v>283.63</v>
      </c>
      <c r="G51" s="103">
        <v>0</v>
      </c>
      <c r="H51" s="242" t="s">
        <v>60</v>
      </c>
      <c r="I51" s="1195"/>
    </row>
    <row r="52" spans="1:10" s="736" customFormat="1" ht="20.100000000000001" customHeight="1" x14ac:dyDescent="0.2">
      <c r="A52" s="234" t="s">
        <v>360</v>
      </c>
      <c r="B52" s="235">
        <v>40000</v>
      </c>
      <c r="C52" s="798">
        <v>151717.42000000001</v>
      </c>
      <c r="D52" s="235">
        <v>40000</v>
      </c>
      <c r="E52" s="237">
        <f>+'Kapitálové výdaje '!F30</f>
        <v>329202.95</v>
      </c>
      <c r="F52" s="237">
        <f>+'Kapitálové výdaje '!G30</f>
        <v>192407.39</v>
      </c>
      <c r="G52" s="103">
        <f>+'Kapitálové výdaje '!H30</f>
        <v>40000</v>
      </c>
      <c r="H52" s="242">
        <f t="shared" si="5"/>
        <v>100</v>
      </c>
      <c r="I52" s="1195"/>
    </row>
    <row r="53" spans="1:10" s="737" customFormat="1" ht="30" x14ac:dyDescent="0.2">
      <c r="A53" s="234" t="s">
        <v>375</v>
      </c>
      <c r="B53" s="235">
        <v>500000</v>
      </c>
      <c r="C53" s="798">
        <v>483315.31</v>
      </c>
      <c r="D53" s="235">
        <v>600000</v>
      </c>
      <c r="E53" s="237">
        <f>+'Kapitálové výdaje '!F31</f>
        <v>1008327.7</v>
      </c>
      <c r="F53" s="237">
        <f>+'Kapitálové výdaje '!G31</f>
        <v>308885.43</v>
      </c>
      <c r="G53" s="103">
        <v>925000</v>
      </c>
      <c r="H53" s="242">
        <f t="shared" si="5"/>
        <v>154.16666666666669</v>
      </c>
      <c r="I53" s="1195"/>
    </row>
    <row r="54" spans="1:10" s="736" customFormat="1" ht="29.85" customHeight="1" x14ac:dyDescent="0.2">
      <c r="A54" s="1178" t="s">
        <v>279</v>
      </c>
      <c r="B54" s="1179">
        <v>1790000</v>
      </c>
      <c r="C54" s="1180">
        <v>440066.56</v>
      </c>
      <c r="D54" s="1179">
        <v>1296000</v>
      </c>
      <c r="E54" s="1181">
        <v>1459071.82</v>
      </c>
      <c r="F54" s="1181">
        <v>487329.73</v>
      </c>
      <c r="G54" s="1173">
        <v>951491</v>
      </c>
      <c r="H54" s="242">
        <f t="shared" si="5"/>
        <v>73.417515432098767</v>
      </c>
      <c r="I54" s="1195"/>
    </row>
    <row r="55" spans="1:10" ht="30" customHeight="1" x14ac:dyDescent="0.2">
      <c r="A55" s="808" t="s">
        <v>394</v>
      </c>
      <c r="B55" s="683">
        <v>1360333.0009699999</v>
      </c>
      <c r="C55" s="799">
        <v>1980897.2</v>
      </c>
      <c r="D55" s="683">
        <v>497240</v>
      </c>
      <c r="E55" s="685">
        <v>1927779.35</v>
      </c>
      <c r="F55" s="684">
        <v>951459.78</v>
      </c>
      <c r="G55" s="598">
        <f>+'Projekty EU a NZ'!E21</f>
        <v>0</v>
      </c>
      <c r="H55" s="242">
        <f t="shared" si="5"/>
        <v>0</v>
      </c>
      <c r="I55" s="1195"/>
    </row>
    <row r="56" spans="1:10" ht="30" customHeight="1" x14ac:dyDescent="0.2">
      <c r="A56" s="810" t="s">
        <v>339</v>
      </c>
      <c r="B56" s="686">
        <v>1011211</v>
      </c>
      <c r="C56" s="687">
        <v>500623.16</v>
      </c>
      <c r="D56" s="686">
        <v>349860</v>
      </c>
      <c r="E56" s="688">
        <v>824328.95</v>
      </c>
      <c r="F56" s="687">
        <v>449504.41</v>
      </c>
      <c r="G56" s="602">
        <f>+'Projekty EU a NZ'!C21+'Projekty EU a NZ'!D21+'Projekty EU a NZ'!G21</f>
        <v>50420</v>
      </c>
      <c r="H56" s="242">
        <f t="shared" si="5"/>
        <v>14.411478877265191</v>
      </c>
      <c r="I56" s="1195"/>
    </row>
    <row r="57" spans="1:10" ht="30" customHeight="1" x14ac:dyDescent="0.2">
      <c r="A57" s="808" t="s">
        <v>395</v>
      </c>
      <c r="B57" s="683">
        <v>891138</v>
      </c>
      <c r="C57" s="684">
        <v>21558.14</v>
      </c>
      <c r="D57" s="683">
        <v>1296824</v>
      </c>
      <c r="E57" s="685">
        <v>1886266.26</v>
      </c>
      <c r="F57" s="684">
        <v>714286.78</v>
      </c>
      <c r="G57" s="598">
        <f>+'Projekty EU a NZ'!E41</f>
        <v>966791</v>
      </c>
      <c r="H57" s="242">
        <f t="shared" si="5"/>
        <v>74.550671486647374</v>
      </c>
      <c r="I57" s="1195"/>
    </row>
    <row r="58" spans="1:10" ht="30" customHeight="1" x14ac:dyDescent="0.2">
      <c r="A58" s="810" t="s">
        <v>340</v>
      </c>
      <c r="B58" s="686">
        <v>778399</v>
      </c>
      <c r="C58" s="687">
        <v>74236.539999999994</v>
      </c>
      <c r="D58" s="686">
        <v>1097422</v>
      </c>
      <c r="E58" s="688">
        <v>941421.74</v>
      </c>
      <c r="F58" s="687">
        <v>60071.519999999997</v>
      </c>
      <c r="G58" s="602">
        <f>+'Projekty EU a NZ'!C41+'Projekty EU a NZ'!D41+'Projekty EU a NZ'!G41</f>
        <v>761474</v>
      </c>
      <c r="H58" s="242">
        <f t="shared" si="5"/>
        <v>69.387528225240615</v>
      </c>
      <c r="I58" s="1195"/>
    </row>
    <row r="59" spans="1:10" ht="30" customHeight="1" x14ac:dyDescent="0.2">
      <c r="A59" s="1178" t="s">
        <v>344</v>
      </c>
      <c r="B59" s="1179">
        <v>66703</v>
      </c>
      <c r="C59" s="1182">
        <v>2396.33</v>
      </c>
      <c r="D59" s="1179">
        <v>283703</v>
      </c>
      <c r="E59" s="1181">
        <v>283703</v>
      </c>
      <c r="F59" s="1181">
        <v>242.2</v>
      </c>
      <c r="G59" s="1173">
        <f>+'Projekty EU a NZ'!F41+'Projekty EU a NZ'!F21</f>
        <v>54535</v>
      </c>
      <c r="H59" s="242">
        <f t="shared" si="5"/>
        <v>19.222567262242556</v>
      </c>
      <c r="I59" s="1195"/>
    </row>
    <row r="60" spans="1:10" ht="20.100000000000001" customHeight="1" x14ac:dyDescent="0.2">
      <c r="A60" s="808" t="s">
        <v>468</v>
      </c>
      <c r="B60" s="683">
        <v>82800</v>
      </c>
      <c r="C60" s="684">
        <v>40549.39</v>
      </c>
      <c r="D60" s="683">
        <v>214228</v>
      </c>
      <c r="E60" s="685">
        <v>290644.26</v>
      </c>
      <c r="F60" s="684">
        <v>24044.46</v>
      </c>
      <c r="G60" s="598">
        <f>+'Projekty EU a NZ'!E60</f>
        <v>78063</v>
      </c>
      <c r="H60" s="242">
        <f t="shared" si="5"/>
        <v>36.439214295050135</v>
      </c>
      <c r="I60" s="1195"/>
    </row>
    <row r="61" spans="1:10" ht="30.75" customHeight="1" x14ac:dyDescent="0.2">
      <c r="A61" s="810" t="s">
        <v>338</v>
      </c>
      <c r="B61" s="686">
        <v>134213</v>
      </c>
      <c r="C61" s="687">
        <v>35214.11</v>
      </c>
      <c r="D61" s="686">
        <v>342215</v>
      </c>
      <c r="E61" s="688">
        <v>343955.72</v>
      </c>
      <c r="F61" s="687">
        <v>52092.78</v>
      </c>
      <c r="G61" s="602">
        <f>+'Projekty EU a NZ'!C60+'Projekty EU a NZ'!D60+'Projekty EU a NZ'!G60</f>
        <v>213333</v>
      </c>
      <c r="H61" s="242">
        <f t="shared" si="5"/>
        <v>62.338880528322839</v>
      </c>
      <c r="I61" s="1195"/>
    </row>
    <row r="62" spans="1:10" ht="20.100000000000001" customHeight="1" x14ac:dyDescent="0.2">
      <c r="A62" s="234" t="s">
        <v>398</v>
      </c>
      <c r="B62" s="235">
        <v>55478.2</v>
      </c>
      <c r="C62" s="236">
        <v>0</v>
      </c>
      <c r="D62" s="235">
        <v>47298.3</v>
      </c>
      <c r="E62" s="237">
        <v>241993.53</v>
      </c>
      <c r="F62" s="236">
        <v>0</v>
      </c>
      <c r="G62" s="103">
        <v>126600.8</v>
      </c>
      <c r="H62" s="242">
        <f t="shared" si="5"/>
        <v>267.66458836786944</v>
      </c>
      <c r="I62" s="1195"/>
      <c r="J62" s="331"/>
    </row>
    <row r="63" spans="1:10" s="101" customFormat="1" ht="20.100000000000001" customHeight="1" x14ac:dyDescent="0.2">
      <c r="A63" s="234" t="s">
        <v>257</v>
      </c>
      <c r="B63" s="235">
        <v>10000</v>
      </c>
      <c r="C63" s="236">
        <v>0</v>
      </c>
      <c r="D63" s="235">
        <v>0</v>
      </c>
      <c r="E63" s="237">
        <v>0</v>
      </c>
      <c r="F63" s="236">
        <v>0</v>
      </c>
      <c r="G63" s="103">
        <v>0</v>
      </c>
      <c r="H63" s="242" t="s">
        <v>60</v>
      </c>
      <c r="I63" s="1195"/>
    </row>
    <row r="64" spans="1:10" s="34" customFormat="1" ht="20.100000000000001" customHeight="1" x14ac:dyDescent="0.2">
      <c r="A64" s="234" t="s">
        <v>258</v>
      </c>
      <c r="B64" s="235">
        <v>0</v>
      </c>
      <c r="C64" s="236">
        <v>0</v>
      </c>
      <c r="D64" s="235">
        <v>0</v>
      </c>
      <c r="E64" s="237">
        <v>76904.5</v>
      </c>
      <c r="F64" s="236">
        <v>0</v>
      </c>
      <c r="G64" s="103">
        <v>0</v>
      </c>
      <c r="H64" s="242" t="s">
        <v>60</v>
      </c>
      <c r="I64" s="1195"/>
    </row>
    <row r="65" spans="1:9" ht="20.100000000000001" customHeight="1" x14ac:dyDescent="0.2">
      <c r="A65" s="234" t="s">
        <v>259</v>
      </c>
      <c r="B65" s="235">
        <v>371980</v>
      </c>
      <c r="C65" s="236">
        <v>0</v>
      </c>
      <c r="D65" s="235">
        <v>1204000</v>
      </c>
      <c r="E65" s="237">
        <v>716251.65</v>
      </c>
      <c r="F65" s="236">
        <v>0</v>
      </c>
      <c r="G65" s="103">
        <f>+'Specifické rezervy'!D14</f>
        <v>369294</v>
      </c>
      <c r="H65" s="242">
        <f t="shared" si="5"/>
        <v>30.672259136212627</v>
      </c>
      <c r="I65" s="1195"/>
    </row>
    <row r="66" spans="1:9" ht="20.100000000000001" customHeight="1" x14ac:dyDescent="0.2">
      <c r="A66" s="234" t="s">
        <v>355</v>
      </c>
      <c r="B66" s="235">
        <v>196583</v>
      </c>
      <c r="C66" s="236">
        <v>153501.21</v>
      </c>
      <c r="D66" s="235">
        <v>263030</v>
      </c>
      <c r="E66" s="237">
        <f>+'Dluhová služba '!H26</f>
        <v>263030</v>
      </c>
      <c r="F66" s="237">
        <f>+'Dluhová služba '!I26</f>
        <v>102155.76000000001</v>
      </c>
      <c r="G66" s="103">
        <f>+'Dluhová služba '!J26</f>
        <v>238874</v>
      </c>
      <c r="H66" s="242">
        <f t="shared" si="5"/>
        <v>90.816256700756568</v>
      </c>
      <c r="I66" s="1195"/>
    </row>
    <row r="67" spans="1:9" ht="20.100000000000001" customHeight="1" x14ac:dyDescent="0.2">
      <c r="A67" s="234" t="s">
        <v>356</v>
      </c>
      <c r="B67" s="235">
        <v>191240</v>
      </c>
      <c r="C67" s="236">
        <v>191045.52</v>
      </c>
      <c r="D67" s="235">
        <v>191208</v>
      </c>
      <c r="E67" s="237">
        <f>+'Kapitálové výdaje '!F36</f>
        <v>191208</v>
      </c>
      <c r="F67" s="237">
        <f>+'Kapitálové výdaje '!G36</f>
        <v>144200.72</v>
      </c>
      <c r="G67" s="103">
        <f>+'Dluhová služba '!J37</f>
        <v>191105</v>
      </c>
      <c r="H67" s="242">
        <f t="shared" si="5"/>
        <v>99.946131961005818</v>
      </c>
      <c r="I67" s="1195"/>
    </row>
    <row r="68" spans="1:9" ht="20.100000000000001" customHeight="1" x14ac:dyDescent="0.2">
      <c r="A68" s="234" t="s">
        <v>53</v>
      </c>
      <c r="B68" s="235">
        <v>23245000</v>
      </c>
      <c r="C68" s="236">
        <f>1374784.02+21995929.69</f>
        <v>23370713.710000001</v>
      </c>
      <c r="D68" s="235">
        <f>+D23</f>
        <v>26225000</v>
      </c>
      <c r="E68" s="237">
        <v>25971265.09</v>
      </c>
      <c r="F68" s="236">
        <v>20779854.59</v>
      </c>
      <c r="G68" s="103">
        <f>+G23</f>
        <v>27760000</v>
      </c>
      <c r="H68" s="242">
        <f t="shared" si="5"/>
        <v>105.85319351763584</v>
      </c>
      <c r="I68" s="1195"/>
    </row>
    <row r="69" spans="1:9" ht="20.100000000000001" customHeight="1" x14ac:dyDescent="0.2">
      <c r="A69" s="234" t="s">
        <v>531</v>
      </c>
      <c r="B69" s="235">
        <f>+B24</f>
        <v>0</v>
      </c>
      <c r="C69" s="236">
        <f>+C24</f>
        <v>537988.21</v>
      </c>
      <c r="D69" s="235">
        <f>+D24</f>
        <v>0</v>
      </c>
      <c r="E69" s="237">
        <f>+E24</f>
        <v>558431.76</v>
      </c>
      <c r="F69" s="236">
        <v>230394.04</v>
      </c>
      <c r="G69" s="103">
        <f>+G24</f>
        <v>642754</v>
      </c>
      <c r="H69" s="242" t="s">
        <v>60</v>
      </c>
      <c r="I69" s="1195"/>
    </row>
    <row r="70" spans="1:9" ht="20.100000000000001" customHeight="1" x14ac:dyDescent="0.2">
      <c r="A70" s="234" t="s">
        <v>585</v>
      </c>
      <c r="B70" s="235">
        <v>0</v>
      </c>
      <c r="C70" s="236">
        <v>2426114.66</v>
      </c>
      <c r="D70" s="235">
        <v>0</v>
      </c>
      <c r="E70" s="237">
        <v>2714194.06</v>
      </c>
      <c r="F70" s="236">
        <v>2684061.4700000002</v>
      </c>
      <c r="G70" s="103">
        <f>+G25</f>
        <v>2741336</v>
      </c>
      <c r="H70" s="242" t="s">
        <v>60</v>
      </c>
      <c r="I70" s="1195"/>
    </row>
    <row r="71" spans="1:9" s="101" customFormat="1" ht="20.100000000000001" customHeight="1" x14ac:dyDescent="0.2">
      <c r="A71" s="234" t="s">
        <v>64</v>
      </c>
      <c r="B71" s="235">
        <v>0</v>
      </c>
      <c r="C71" s="236">
        <v>2698379.13</v>
      </c>
      <c r="D71" s="235">
        <v>0</v>
      </c>
      <c r="E71" s="237">
        <f>32605654.93-E68-E69-E70</f>
        <v>3361764.02</v>
      </c>
      <c r="F71" s="237">
        <f>25938495.14-F68-F69-F70</f>
        <v>2244185.0400000005</v>
      </c>
      <c r="G71" s="103">
        <v>0</v>
      </c>
      <c r="H71" s="242" t="s">
        <v>60</v>
      </c>
      <c r="I71" s="34"/>
    </row>
    <row r="72" spans="1:9" s="34" customFormat="1" ht="20.100000000000001" customHeight="1" x14ac:dyDescent="0.2">
      <c r="A72" s="234" t="s">
        <v>65</v>
      </c>
      <c r="B72" s="235">
        <v>0</v>
      </c>
      <c r="C72" s="236">
        <v>428346.16</v>
      </c>
      <c r="D72" s="235">
        <v>0</v>
      </c>
      <c r="E72" s="237">
        <v>432070.82</v>
      </c>
      <c r="F72" s="236">
        <v>432070.82</v>
      </c>
      <c r="G72" s="103">
        <v>0</v>
      </c>
      <c r="H72" s="242" t="s">
        <v>60</v>
      </c>
    </row>
    <row r="73" spans="1:9" s="101" customFormat="1" ht="20.100000000000001" customHeight="1" thickBot="1" x14ac:dyDescent="0.25">
      <c r="A73" s="369" t="s">
        <v>475</v>
      </c>
      <c r="B73" s="370">
        <v>0</v>
      </c>
      <c r="C73" s="371">
        <v>0</v>
      </c>
      <c r="D73" s="370">
        <v>0</v>
      </c>
      <c r="E73" s="372">
        <v>0</v>
      </c>
      <c r="F73" s="371">
        <v>-4891.3100000000004</v>
      </c>
      <c r="G73" s="373">
        <v>0</v>
      </c>
      <c r="H73" s="242" t="s">
        <v>60</v>
      </c>
      <c r="I73" s="34"/>
    </row>
    <row r="74" spans="1:9" ht="20.25" customHeight="1" thickBot="1" x14ac:dyDescent="0.25">
      <c r="A74" s="661" t="s">
        <v>14</v>
      </c>
      <c r="B74" s="662">
        <f t="shared" ref="B74:G74" si="6">SUM(B46:B73)</f>
        <v>40207008.200970002</v>
      </c>
      <c r="C74" s="663">
        <f t="shared" si="6"/>
        <v>44372442.853000008</v>
      </c>
      <c r="D74" s="662">
        <f t="shared" si="6"/>
        <v>45066560.299999997</v>
      </c>
      <c r="E74" s="664">
        <f t="shared" si="6"/>
        <v>56860451.338000007</v>
      </c>
      <c r="F74" s="663">
        <f t="shared" si="6"/>
        <v>39288007.639999993</v>
      </c>
      <c r="G74" s="147">
        <f t="shared" si="6"/>
        <v>49503478.799999997</v>
      </c>
      <c r="H74" s="665">
        <f>G74/D74*100</f>
        <v>109.84525659483269</v>
      </c>
    </row>
    <row r="75" spans="1:9" ht="9.9499999999999993" customHeight="1" thickBot="1" x14ac:dyDescent="0.25">
      <c r="B75" s="33"/>
      <c r="C75" s="33"/>
      <c r="D75" s="33"/>
      <c r="E75" s="33"/>
      <c r="F75" s="33"/>
      <c r="G75" s="33"/>
      <c r="H75" s="177"/>
    </row>
    <row r="76" spans="1:9" s="623" customFormat="1" ht="15.75" x14ac:dyDescent="0.2">
      <c r="A76" s="1217" t="s">
        <v>15</v>
      </c>
      <c r="B76" s="1218"/>
      <c r="C76" s="1218"/>
      <c r="D76" s="1218"/>
      <c r="E76" s="1218"/>
      <c r="F76" s="1218"/>
      <c r="G76" s="1218"/>
      <c r="H76" s="1219"/>
      <c r="I76" s="622"/>
    </row>
    <row r="77" spans="1:9" s="623" customFormat="1" ht="30" customHeight="1" x14ac:dyDescent="0.2">
      <c r="A77" s="234" t="s">
        <v>349</v>
      </c>
      <c r="B77" s="235">
        <v>239487</v>
      </c>
      <c r="C77" s="236">
        <v>239486.82</v>
      </c>
      <c r="D77" s="235">
        <v>239487</v>
      </c>
      <c r="E77" s="237">
        <v>239487</v>
      </c>
      <c r="F77" s="236">
        <v>179615.11</v>
      </c>
      <c r="G77" s="103">
        <f>+'Dluhová služba '!J10</f>
        <v>239487</v>
      </c>
      <c r="H77" s="243">
        <f>G77/D77*100</f>
        <v>100</v>
      </c>
      <c r="I77" s="622"/>
    </row>
    <row r="78" spans="1:9" s="623" customFormat="1" ht="30" customHeight="1" x14ac:dyDescent="0.2">
      <c r="A78" s="238" t="s">
        <v>347</v>
      </c>
      <c r="B78" s="239">
        <v>2000000</v>
      </c>
      <c r="C78" s="240">
        <v>2000000</v>
      </c>
      <c r="D78" s="239">
        <v>0</v>
      </c>
      <c r="E78" s="241">
        <v>0</v>
      </c>
      <c r="F78" s="240">
        <v>0</v>
      </c>
      <c r="G78" s="104">
        <v>0</v>
      </c>
      <c r="H78" s="243" t="s">
        <v>60</v>
      </c>
      <c r="I78" s="622"/>
    </row>
    <row r="79" spans="1:9" s="623" customFormat="1" ht="30" customHeight="1" x14ac:dyDescent="0.2">
      <c r="A79" s="238" t="s">
        <v>350</v>
      </c>
      <c r="B79" s="239">
        <v>78140</v>
      </c>
      <c r="C79" s="240">
        <v>78140</v>
      </c>
      <c r="D79" s="239">
        <v>78140</v>
      </c>
      <c r="E79" s="241">
        <v>78140</v>
      </c>
      <c r="F79" s="240">
        <v>58605</v>
      </c>
      <c r="G79" s="104">
        <f>+'Dluhová služba '!J13</f>
        <v>39070</v>
      </c>
      <c r="H79" s="243">
        <f t="shared" ref="H79" si="7">G79/D79*100</f>
        <v>50</v>
      </c>
      <c r="I79" s="622"/>
    </row>
    <row r="80" spans="1:9" s="623" customFormat="1" ht="30" customHeight="1" x14ac:dyDescent="0.2">
      <c r="A80" s="238" t="s">
        <v>573</v>
      </c>
      <c r="B80" s="239">
        <v>0</v>
      </c>
      <c r="C80" s="240">
        <v>0</v>
      </c>
      <c r="D80" s="239">
        <v>0</v>
      </c>
      <c r="E80" s="241">
        <v>0</v>
      </c>
      <c r="F80" s="240">
        <v>0</v>
      </c>
      <c r="G80" s="104">
        <f>+'Dluhová služba '!J16</f>
        <v>8031</v>
      </c>
      <c r="H80" s="243" t="s">
        <v>60</v>
      </c>
      <c r="I80" s="622"/>
    </row>
    <row r="81" spans="1:9" s="623" customFormat="1" ht="20.100000000000001" customHeight="1" x14ac:dyDescent="0.2">
      <c r="A81" s="238" t="s">
        <v>442</v>
      </c>
      <c r="B81" s="239">
        <v>0</v>
      </c>
      <c r="C81" s="240">
        <v>0</v>
      </c>
      <c r="D81" s="239">
        <v>0</v>
      </c>
      <c r="E81" s="241">
        <v>0</v>
      </c>
      <c r="F81" s="240">
        <v>1500000</v>
      </c>
      <c r="G81" s="104">
        <v>0</v>
      </c>
      <c r="H81" s="243" t="s">
        <v>60</v>
      </c>
      <c r="I81" s="622"/>
    </row>
    <row r="82" spans="1:9" s="618" customFormat="1" ht="20.25" customHeight="1" thickBot="1" x14ac:dyDescent="0.25">
      <c r="A82" s="238" t="s">
        <v>233</v>
      </c>
      <c r="B82" s="239">
        <v>0</v>
      </c>
      <c r="C82" s="240">
        <v>0</v>
      </c>
      <c r="D82" s="239">
        <v>0</v>
      </c>
      <c r="E82" s="241">
        <v>0</v>
      </c>
      <c r="F82" s="240">
        <v>53936.33</v>
      </c>
      <c r="G82" s="104">
        <v>0</v>
      </c>
      <c r="H82" s="243" t="s">
        <v>60</v>
      </c>
      <c r="I82" s="34"/>
    </row>
    <row r="83" spans="1:9" ht="20.25" customHeight="1" thickBot="1" x14ac:dyDescent="0.25">
      <c r="A83" s="210" t="s">
        <v>14</v>
      </c>
      <c r="B83" s="211">
        <f t="shared" ref="B83:G83" si="8">SUM(B74:B82)</f>
        <v>42524635.200970002</v>
      </c>
      <c r="C83" s="212">
        <f t="shared" si="8"/>
        <v>46690069.673000008</v>
      </c>
      <c r="D83" s="211">
        <f t="shared" si="8"/>
        <v>45384187.299999997</v>
      </c>
      <c r="E83" s="213">
        <f t="shared" si="8"/>
        <v>57178078.338000007</v>
      </c>
      <c r="F83" s="212">
        <f t="shared" si="8"/>
        <v>41080164.079999991</v>
      </c>
      <c r="G83" s="147">
        <f t="shared" si="8"/>
        <v>49790066.799999997</v>
      </c>
      <c r="H83" s="1183">
        <f>G83/D83*100</f>
        <v>109.70796165386001</v>
      </c>
    </row>
    <row r="84" spans="1:9" s="623" customFormat="1" ht="9.9499999999999993" customHeight="1" thickBot="1" x14ac:dyDescent="0.25">
      <c r="A84" s="176"/>
      <c r="B84" s="33"/>
      <c r="C84" s="33"/>
      <c r="D84" s="33"/>
      <c r="E84" s="33"/>
      <c r="F84" s="33"/>
      <c r="G84" s="33"/>
      <c r="H84" s="177"/>
      <c r="I84" s="622"/>
    </row>
    <row r="85" spans="1:9" s="623" customFormat="1" ht="30" customHeight="1" thickBot="1" x14ac:dyDescent="0.25">
      <c r="A85" s="210" t="s">
        <v>17</v>
      </c>
      <c r="B85" s="211">
        <f t="shared" ref="B85:G85" si="9">B43-B83</f>
        <v>-9.6999853849411011E-4</v>
      </c>
      <c r="C85" s="212">
        <f t="shared" si="9"/>
        <v>-3.0000209808349609E-3</v>
      </c>
      <c r="D85" s="211">
        <f t="shared" si="9"/>
        <v>0</v>
      </c>
      <c r="E85" s="213">
        <f t="shared" si="9"/>
        <v>1.9999891519546509E-3</v>
      </c>
      <c r="F85" s="213">
        <f t="shared" si="9"/>
        <v>0</v>
      </c>
      <c r="G85" s="147">
        <f t="shared" si="9"/>
        <v>0</v>
      </c>
      <c r="H85" s="214" t="s">
        <v>60</v>
      </c>
      <c r="I85" s="622"/>
    </row>
    <row r="86" spans="1:9" s="623" customFormat="1" ht="18" customHeight="1" x14ac:dyDescent="0.2">
      <c r="A86" s="738"/>
      <c r="B86" s="619"/>
      <c r="C86" s="619"/>
      <c r="D86" s="33"/>
      <c r="E86" s="619"/>
      <c r="F86" s="619"/>
      <c r="G86" s="217"/>
      <c r="H86" s="739"/>
      <c r="I86" s="622"/>
    </row>
    <row r="87" spans="1:9" s="618" customFormat="1" ht="20.25" customHeight="1" x14ac:dyDescent="0.2">
      <c r="A87" s="176"/>
      <c r="B87" s="619"/>
      <c r="C87" s="619"/>
      <c r="D87" s="619"/>
      <c r="E87" s="619"/>
      <c r="F87" s="619"/>
      <c r="G87" s="217"/>
      <c r="H87" s="739"/>
      <c r="I87" s="34"/>
    </row>
    <row r="88" spans="1:9" s="623" customFormat="1" ht="20.25" customHeight="1" thickBot="1" x14ac:dyDescent="0.25">
      <c r="A88" s="101" t="s">
        <v>478</v>
      </c>
      <c r="B88" s="619"/>
      <c r="C88" s="619"/>
      <c r="D88" s="619"/>
      <c r="E88" s="619"/>
      <c r="F88" s="619"/>
      <c r="H88" s="177" t="s">
        <v>0</v>
      </c>
      <c r="I88" s="622"/>
    </row>
    <row r="89" spans="1:9" s="623" customFormat="1" ht="15" customHeight="1" x14ac:dyDescent="0.2">
      <c r="A89" s="1226" t="s">
        <v>1</v>
      </c>
      <c r="B89" s="1208" t="s">
        <v>283</v>
      </c>
      <c r="C89" s="1209"/>
      <c r="D89" s="1208" t="s">
        <v>390</v>
      </c>
      <c r="E89" s="1212"/>
      <c r="F89" s="1209"/>
      <c r="G89" s="1213" t="s">
        <v>484</v>
      </c>
      <c r="H89" s="1215" t="s">
        <v>485</v>
      </c>
      <c r="I89" s="622"/>
    </row>
    <row r="90" spans="1:9" s="623" customFormat="1" ht="30" customHeight="1" thickBot="1" x14ac:dyDescent="0.25">
      <c r="A90" s="1227"/>
      <c r="B90" s="267" t="s">
        <v>109</v>
      </c>
      <c r="C90" s="272" t="s">
        <v>110</v>
      </c>
      <c r="D90" s="267" t="s">
        <v>109</v>
      </c>
      <c r="E90" s="268" t="s">
        <v>586</v>
      </c>
      <c r="F90" s="269" t="s">
        <v>587</v>
      </c>
      <c r="G90" s="1214"/>
      <c r="H90" s="1216"/>
      <c r="I90" s="622"/>
    </row>
    <row r="91" spans="1:9" s="623" customFormat="1" ht="20.100000000000001" customHeight="1" x14ac:dyDescent="0.2">
      <c r="A91" s="1220" t="s">
        <v>433</v>
      </c>
      <c r="B91" s="1221"/>
      <c r="C91" s="1221"/>
      <c r="D91" s="1221"/>
      <c r="E91" s="1221"/>
      <c r="F91" s="1221"/>
      <c r="G91" s="1221"/>
      <c r="H91" s="1222"/>
      <c r="I91" s="622"/>
    </row>
    <row r="92" spans="1:9" s="623" customFormat="1" ht="20.100000000000001" customHeight="1" x14ac:dyDescent="0.2">
      <c r="A92" s="218" t="s">
        <v>3</v>
      </c>
      <c r="B92" s="219">
        <v>0</v>
      </c>
      <c r="C92" s="1036">
        <v>0</v>
      </c>
      <c r="D92" s="219">
        <v>0</v>
      </c>
      <c r="E92" s="221">
        <v>0</v>
      </c>
      <c r="F92" s="220">
        <v>0</v>
      </c>
      <c r="G92" s="103">
        <v>0</v>
      </c>
      <c r="H92" s="226" t="s">
        <v>60</v>
      </c>
      <c r="I92" s="622"/>
    </row>
    <row r="93" spans="1:9" s="623" customFormat="1" ht="27.75" customHeight="1" x14ac:dyDescent="0.2">
      <c r="A93" s="218" t="s">
        <v>582</v>
      </c>
      <c r="B93" s="219">
        <f>B21</f>
        <v>1201165</v>
      </c>
      <c r="C93" s="1036">
        <f t="shared" ref="C93:G93" si="10">C21</f>
        <v>637923.75</v>
      </c>
      <c r="D93" s="219">
        <f t="shared" si="10"/>
        <v>1530624</v>
      </c>
      <c r="E93" s="221">
        <f t="shared" si="10"/>
        <v>1405410.48</v>
      </c>
      <c r="F93" s="220">
        <f t="shared" si="10"/>
        <v>275601.99</v>
      </c>
      <c r="G93" s="103">
        <f t="shared" si="10"/>
        <v>641609</v>
      </c>
      <c r="H93" s="226">
        <f t="shared" ref="H93:H100" si="11">G93/D93*100</f>
        <v>41.918132735407262</v>
      </c>
      <c r="I93" s="622"/>
    </row>
    <row r="94" spans="1:9" s="623" customFormat="1" ht="20.100000000000001" customHeight="1" x14ac:dyDescent="0.2">
      <c r="A94" s="218" t="s">
        <v>580</v>
      </c>
      <c r="B94" s="219">
        <v>0</v>
      </c>
      <c r="C94" s="1036">
        <v>1592904.01</v>
      </c>
      <c r="D94" s="219">
        <v>0</v>
      </c>
      <c r="E94" s="221">
        <v>1088086.81</v>
      </c>
      <c r="F94" s="220">
        <v>1168240.18</v>
      </c>
      <c r="G94" s="103">
        <v>0</v>
      </c>
      <c r="H94" s="226" t="s">
        <v>60</v>
      </c>
      <c r="I94" s="622"/>
    </row>
    <row r="95" spans="1:9" s="623" customFormat="1" ht="27.75" customHeight="1" x14ac:dyDescent="0.2">
      <c r="A95" s="218" t="s">
        <v>583</v>
      </c>
      <c r="B95" s="219">
        <f>B22</f>
        <v>19904</v>
      </c>
      <c r="C95" s="1036">
        <f t="shared" ref="C95:G95" si="12">C22</f>
        <v>3713.76</v>
      </c>
      <c r="D95" s="219">
        <f t="shared" si="12"/>
        <v>92196</v>
      </c>
      <c r="E95" s="221">
        <f t="shared" si="12"/>
        <v>82030.22</v>
      </c>
      <c r="F95" s="220">
        <f t="shared" si="12"/>
        <v>8334.99</v>
      </c>
      <c r="G95" s="103">
        <f t="shared" si="12"/>
        <v>26223</v>
      </c>
      <c r="H95" s="226">
        <f t="shared" si="11"/>
        <v>28.442665625406743</v>
      </c>
      <c r="I95" s="622"/>
    </row>
    <row r="96" spans="1:9" s="623" customFormat="1" ht="20.100000000000001" customHeight="1" x14ac:dyDescent="0.2">
      <c r="A96" s="218" t="s">
        <v>581</v>
      </c>
      <c r="B96" s="219">
        <v>0</v>
      </c>
      <c r="C96" s="1036">
        <v>6833.21</v>
      </c>
      <c r="D96" s="219">
        <v>0</v>
      </c>
      <c r="E96" s="221">
        <v>10165.780000000001</v>
      </c>
      <c r="F96" s="220">
        <v>10165.780000000001</v>
      </c>
      <c r="G96" s="103">
        <v>0</v>
      </c>
      <c r="H96" s="226" t="s">
        <v>60</v>
      </c>
      <c r="I96" s="622"/>
    </row>
    <row r="97" spans="1:9" s="623" customFormat="1" ht="20.100000000000001" customHeight="1" x14ac:dyDescent="0.2">
      <c r="A97" s="218" t="s">
        <v>94</v>
      </c>
      <c r="B97" s="219">
        <v>1113202</v>
      </c>
      <c r="C97" s="1036">
        <v>1866325.27</v>
      </c>
      <c r="D97" s="219">
        <v>0</v>
      </c>
      <c r="E97" s="221">
        <v>1112199.8600000001</v>
      </c>
      <c r="F97" s="220">
        <v>1112199.8600000001</v>
      </c>
      <c r="G97" s="103">
        <v>0</v>
      </c>
      <c r="H97" s="226" t="s">
        <v>60</v>
      </c>
      <c r="I97" s="622"/>
    </row>
    <row r="98" spans="1:9" s="623" customFormat="1" ht="30" customHeight="1" x14ac:dyDescent="0.2">
      <c r="A98" s="218" t="s">
        <v>345</v>
      </c>
      <c r="B98" s="219">
        <v>2000000</v>
      </c>
      <c r="C98" s="1036">
        <v>0</v>
      </c>
      <c r="D98" s="219">
        <v>385472</v>
      </c>
      <c r="E98" s="221">
        <v>385472</v>
      </c>
      <c r="F98" s="220">
        <v>0</v>
      </c>
      <c r="G98" s="103">
        <v>377022</v>
      </c>
      <c r="H98" s="226">
        <f t="shared" si="11"/>
        <v>97.807882284575797</v>
      </c>
      <c r="I98" s="622"/>
    </row>
    <row r="99" spans="1:9" s="623" customFormat="1" ht="20.100000000000001" customHeight="1" thickBot="1" x14ac:dyDescent="0.25">
      <c r="A99" s="794" t="s">
        <v>393</v>
      </c>
      <c r="B99" s="801">
        <v>0</v>
      </c>
      <c r="C99" s="1037">
        <v>8093.96</v>
      </c>
      <c r="D99" s="228">
        <v>0</v>
      </c>
      <c r="E99" s="230">
        <v>21324.720000000001</v>
      </c>
      <c r="F99" s="229">
        <v>23475.19</v>
      </c>
      <c r="G99" s="689">
        <v>0</v>
      </c>
      <c r="H99" s="226" t="s">
        <v>60</v>
      </c>
      <c r="I99" s="622"/>
    </row>
    <row r="100" spans="1:9" s="623" customFormat="1" ht="20.100000000000001" customHeight="1" thickBot="1" x14ac:dyDescent="0.25">
      <c r="A100" s="817" t="s">
        <v>11</v>
      </c>
      <c r="B100" s="946">
        <f t="shared" ref="B100:G100" si="13">SUM(B92:B99)</f>
        <v>4334271</v>
      </c>
      <c r="C100" s="945">
        <f t="shared" si="13"/>
        <v>4115793.9599999995</v>
      </c>
      <c r="D100" s="946">
        <f t="shared" si="13"/>
        <v>2008292</v>
      </c>
      <c r="E100" s="1061">
        <f t="shared" si="13"/>
        <v>4104689.8700000006</v>
      </c>
      <c r="F100" s="1062">
        <f t="shared" si="13"/>
        <v>2598017.9899999998</v>
      </c>
      <c r="G100" s="689">
        <f t="shared" si="13"/>
        <v>1044854</v>
      </c>
      <c r="H100" s="877">
        <f t="shared" si="11"/>
        <v>52.026996074276056</v>
      </c>
      <c r="I100" s="622"/>
    </row>
    <row r="101" spans="1:9" s="623" customFormat="1" ht="9.9499999999999993" customHeight="1" thickBot="1" x14ac:dyDescent="0.25">
      <c r="A101" s="881"/>
      <c r="B101" s="882"/>
      <c r="C101" s="882"/>
      <c r="D101" s="882"/>
      <c r="E101" s="882"/>
      <c r="F101" s="882"/>
      <c r="G101" s="884"/>
      <c r="H101" s="883"/>
      <c r="I101" s="622"/>
    </row>
    <row r="102" spans="1:9" s="34" customFormat="1" ht="20.100000000000001" customHeight="1" x14ac:dyDescent="0.2">
      <c r="A102" s="1228" t="s">
        <v>342</v>
      </c>
      <c r="B102" s="1229"/>
      <c r="C102" s="1229"/>
      <c r="D102" s="1229"/>
      <c r="E102" s="1229"/>
      <c r="F102" s="1229"/>
      <c r="G102" s="1229"/>
      <c r="H102" s="1230"/>
    </row>
    <row r="103" spans="1:9" s="34" customFormat="1" ht="30" customHeight="1" x14ac:dyDescent="0.2">
      <c r="A103" s="234" t="s">
        <v>426</v>
      </c>
      <c r="B103" s="235">
        <f t="shared" ref="B103:G103" si="14">+B55</f>
        <v>1360333.0009699999</v>
      </c>
      <c r="C103" s="797">
        <f t="shared" si="14"/>
        <v>1980897.2</v>
      </c>
      <c r="D103" s="239">
        <f t="shared" si="14"/>
        <v>497240</v>
      </c>
      <c r="E103" s="241">
        <f t="shared" si="14"/>
        <v>1927779.35</v>
      </c>
      <c r="F103" s="241">
        <f t="shared" si="14"/>
        <v>951459.78</v>
      </c>
      <c r="G103" s="104">
        <f t="shared" si="14"/>
        <v>0</v>
      </c>
      <c r="H103" s="243">
        <f t="shared" ref="H103:H107" si="15">G103/D103*100</f>
        <v>0</v>
      </c>
    </row>
    <row r="104" spans="1:9" ht="30" customHeight="1" x14ac:dyDescent="0.2">
      <c r="A104" s="234" t="s">
        <v>427</v>
      </c>
      <c r="B104" s="235">
        <f t="shared" ref="B104:G104" si="16">+B57</f>
        <v>891138</v>
      </c>
      <c r="C104" s="797">
        <f t="shared" si="16"/>
        <v>21558.14</v>
      </c>
      <c r="D104" s="239">
        <f t="shared" si="16"/>
        <v>1296824</v>
      </c>
      <c r="E104" s="241">
        <f t="shared" si="16"/>
        <v>1886266.26</v>
      </c>
      <c r="F104" s="241">
        <f t="shared" si="16"/>
        <v>714286.78</v>
      </c>
      <c r="G104" s="104">
        <f t="shared" si="16"/>
        <v>966791</v>
      </c>
      <c r="H104" s="243">
        <f t="shared" si="15"/>
        <v>74.550671486647374</v>
      </c>
    </row>
    <row r="105" spans="1:9" s="623" customFormat="1" ht="20.100000000000001" customHeight="1" x14ac:dyDescent="0.2">
      <c r="A105" s="234" t="s">
        <v>428</v>
      </c>
      <c r="B105" s="235">
        <f t="shared" ref="B105:G105" si="17">+B60</f>
        <v>82800</v>
      </c>
      <c r="C105" s="797">
        <f t="shared" si="17"/>
        <v>40549.39</v>
      </c>
      <c r="D105" s="239">
        <f t="shared" si="17"/>
        <v>214228</v>
      </c>
      <c r="E105" s="241">
        <f t="shared" si="17"/>
        <v>290644.26</v>
      </c>
      <c r="F105" s="241">
        <f t="shared" si="17"/>
        <v>24044.46</v>
      </c>
      <c r="G105" s="104">
        <f t="shared" si="17"/>
        <v>78063</v>
      </c>
      <c r="H105" s="243">
        <f t="shared" si="15"/>
        <v>36.439214295050135</v>
      </c>
      <c r="I105" s="622"/>
    </row>
    <row r="106" spans="1:9" s="623" customFormat="1" ht="30" customHeight="1" thickBot="1" x14ac:dyDescent="0.25">
      <c r="A106" s="238" t="s">
        <v>348</v>
      </c>
      <c r="B106" s="239">
        <v>2000000</v>
      </c>
      <c r="C106" s="1038">
        <v>2000000</v>
      </c>
      <c r="D106" s="239">
        <v>0</v>
      </c>
      <c r="E106" s="241">
        <v>0</v>
      </c>
      <c r="F106" s="241">
        <v>0</v>
      </c>
      <c r="G106" s="104">
        <v>0</v>
      </c>
      <c r="H106" s="878" t="s">
        <v>60</v>
      </c>
      <c r="I106" s="622"/>
    </row>
    <row r="107" spans="1:9" s="623" customFormat="1" ht="20.100000000000001" customHeight="1" thickBot="1" x14ac:dyDescent="0.25">
      <c r="A107" s="819" t="s">
        <v>14</v>
      </c>
      <c r="B107" s="947">
        <f t="shared" ref="B107:G107" si="18">SUM(B103:B106)</f>
        <v>4334271.0009700004</v>
      </c>
      <c r="C107" s="1040">
        <f t="shared" si="18"/>
        <v>4043004.7299999995</v>
      </c>
      <c r="D107" s="941">
        <f t="shared" si="18"/>
        <v>2008292</v>
      </c>
      <c r="E107" s="820">
        <f t="shared" si="18"/>
        <v>4104689.87</v>
      </c>
      <c r="F107" s="942">
        <f t="shared" si="18"/>
        <v>1689791.02</v>
      </c>
      <c r="G107" s="818">
        <f t="shared" si="18"/>
        <v>1044854</v>
      </c>
      <c r="H107" s="879">
        <f t="shared" si="15"/>
        <v>52.026996074276056</v>
      </c>
      <c r="I107" s="622"/>
    </row>
    <row r="108" spans="1:9" s="623" customFormat="1" ht="9.9499999999999993" customHeight="1" thickBot="1" x14ac:dyDescent="0.25">
      <c r="A108" s="772"/>
      <c r="B108" s="948"/>
      <c r="C108" s="619"/>
      <c r="D108" s="619"/>
      <c r="E108" s="619"/>
      <c r="F108" s="619"/>
      <c r="G108" s="33"/>
      <c r="H108" s="885"/>
      <c r="I108" s="622"/>
    </row>
    <row r="109" spans="1:9" s="623" customFormat="1" ht="30" customHeight="1" thickBot="1" x14ac:dyDescent="0.25">
      <c r="A109" s="800" t="s">
        <v>341</v>
      </c>
      <c r="B109" s="211">
        <f t="shared" ref="B109:G109" si="19">+B100-B107</f>
        <v>-9.7000040113925934E-4</v>
      </c>
      <c r="C109" s="1039">
        <f t="shared" si="19"/>
        <v>72789.229999999981</v>
      </c>
      <c r="D109" s="211">
        <f t="shared" si="19"/>
        <v>0</v>
      </c>
      <c r="E109" s="213">
        <f t="shared" si="19"/>
        <v>0</v>
      </c>
      <c r="F109" s="943">
        <f t="shared" si="19"/>
        <v>908226.96999999974</v>
      </c>
      <c r="G109" s="147">
        <f t="shared" si="19"/>
        <v>0</v>
      </c>
      <c r="H109" s="875" t="s">
        <v>60</v>
      </c>
      <c r="I109" s="622"/>
    </row>
    <row r="110" spans="1:9" s="623" customFormat="1" ht="12.75" customHeight="1" x14ac:dyDescent="0.2">
      <c r="A110" s="176"/>
      <c r="B110" s="619"/>
      <c r="C110" s="619"/>
      <c r="D110" s="619"/>
      <c r="E110" s="619"/>
      <c r="F110" s="619"/>
      <c r="G110" s="33"/>
      <c r="H110" s="739"/>
      <c r="I110" s="622"/>
    </row>
    <row r="111" spans="1:9" s="623" customFormat="1" ht="21" customHeight="1" thickBot="1" x14ac:dyDescent="0.25">
      <c r="A111" s="101" t="s">
        <v>479</v>
      </c>
      <c r="B111" s="619"/>
      <c r="C111" s="619"/>
      <c r="D111" s="619"/>
      <c r="E111" s="619"/>
      <c r="F111" s="619"/>
      <c r="H111" s="177" t="s">
        <v>0</v>
      </c>
      <c r="I111" s="622"/>
    </row>
    <row r="112" spans="1:9" s="623" customFormat="1" ht="20.100000000000001" customHeight="1" x14ac:dyDescent="0.2">
      <c r="A112" s="1220" t="s">
        <v>433</v>
      </c>
      <c r="B112" s="1221"/>
      <c r="C112" s="1221"/>
      <c r="D112" s="1221"/>
      <c r="E112" s="1221"/>
      <c r="F112" s="1221"/>
      <c r="G112" s="1221"/>
      <c r="H112" s="1222"/>
      <c r="I112" s="622"/>
    </row>
    <row r="113" spans="1:9" s="623" customFormat="1" ht="20.100000000000001" customHeight="1" x14ac:dyDescent="0.2">
      <c r="A113" s="218" t="s">
        <v>3</v>
      </c>
      <c r="B113" s="219">
        <v>400000</v>
      </c>
      <c r="C113" s="1036">
        <v>132462.32999999999</v>
      </c>
      <c r="D113" s="219">
        <v>400000</v>
      </c>
      <c r="E113" s="221">
        <v>400000</v>
      </c>
      <c r="F113" s="220">
        <v>231561.48</v>
      </c>
      <c r="G113" s="103">
        <v>450000</v>
      </c>
      <c r="H113" s="226">
        <f t="shared" ref="H113:H118" si="20">G113/D113*100</f>
        <v>112.5</v>
      </c>
      <c r="I113" s="622"/>
    </row>
    <row r="114" spans="1:9" s="623" customFormat="1" ht="20.100000000000001" customHeight="1" x14ac:dyDescent="0.2">
      <c r="A114" s="218" t="s">
        <v>94</v>
      </c>
      <c r="B114" s="219">
        <v>86798</v>
      </c>
      <c r="C114" s="1036">
        <v>474775.84</v>
      </c>
      <c r="D114" s="219">
        <v>0</v>
      </c>
      <c r="E114" s="221">
        <v>319177.68</v>
      </c>
      <c r="F114" s="220">
        <v>319177.68</v>
      </c>
      <c r="G114" s="103">
        <v>0</v>
      </c>
      <c r="H114" s="226" t="s">
        <v>60</v>
      </c>
      <c r="I114" s="622"/>
    </row>
    <row r="115" spans="1:9" s="623" customFormat="1" ht="30" customHeight="1" x14ac:dyDescent="0.2">
      <c r="A115" s="218" t="s">
        <v>346</v>
      </c>
      <c r="B115" s="219">
        <f>+B40</f>
        <v>1437025</v>
      </c>
      <c r="C115" s="1043">
        <f>+C40</f>
        <v>0</v>
      </c>
      <c r="D115" s="219">
        <f>+D40</f>
        <v>1389497</v>
      </c>
      <c r="E115" s="221">
        <f>+E40</f>
        <v>1389497</v>
      </c>
      <c r="F115" s="220">
        <f>+F40</f>
        <v>0</v>
      </c>
      <c r="G115" s="146">
        <v>575227</v>
      </c>
      <c r="H115" s="226">
        <f t="shared" si="20"/>
        <v>41.3982182041415</v>
      </c>
      <c r="I115" s="622"/>
    </row>
    <row r="116" spans="1:9" s="623" customFormat="1" ht="30" customHeight="1" x14ac:dyDescent="0.2">
      <c r="A116" s="218" t="s">
        <v>480</v>
      </c>
      <c r="B116" s="219">
        <v>66703</v>
      </c>
      <c r="C116" s="1036">
        <v>2396.33</v>
      </c>
      <c r="D116" s="219">
        <v>283703</v>
      </c>
      <c r="E116" s="221">
        <v>283703</v>
      </c>
      <c r="F116" s="220">
        <v>242.2</v>
      </c>
      <c r="G116" s="103">
        <f>+G123</f>
        <v>54535</v>
      </c>
      <c r="H116" s="226">
        <f t="shared" si="20"/>
        <v>19.222567262242556</v>
      </c>
      <c r="I116" s="622"/>
    </row>
    <row r="117" spans="1:9" s="623" customFormat="1" ht="20.100000000000001" customHeight="1" thickBot="1" x14ac:dyDescent="0.25">
      <c r="A117" s="794" t="s">
        <v>393</v>
      </c>
      <c r="B117" s="228">
        <v>0</v>
      </c>
      <c r="C117" s="1042">
        <v>2835.64</v>
      </c>
      <c r="D117" s="228">
        <v>0</v>
      </c>
      <c r="E117" s="230">
        <v>1031.73</v>
      </c>
      <c r="F117" s="229">
        <v>10929.55</v>
      </c>
      <c r="G117" s="689">
        <v>0</v>
      </c>
      <c r="H117" s="876" t="s">
        <v>60</v>
      </c>
      <c r="I117" s="622"/>
    </row>
    <row r="118" spans="1:9" s="623" customFormat="1" ht="20.100000000000001" customHeight="1" thickBot="1" x14ac:dyDescent="0.25">
      <c r="A118" s="817" t="s">
        <v>11</v>
      </c>
      <c r="B118" s="946">
        <f t="shared" ref="B118:G118" si="21">SUM(B113:B117)</f>
        <v>1990526</v>
      </c>
      <c r="C118" s="1041">
        <f t="shared" si="21"/>
        <v>612470.14</v>
      </c>
      <c r="D118" s="946">
        <f t="shared" si="21"/>
        <v>2073200</v>
      </c>
      <c r="E118" s="1061">
        <f t="shared" si="21"/>
        <v>2393409.4099999997</v>
      </c>
      <c r="F118" s="1062">
        <f t="shared" si="21"/>
        <v>561910.91</v>
      </c>
      <c r="G118" s="689">
        <f t="shared" si="21"/>
        <v>1079762</v>
      </c>
      <c r="H118" s="877">
        <f t="shared" si="20"/>
        <v>52.081902373142967</v>
      </c>
      <c r="I118" s="622"/>
    </row>
    <row r="119" spans="1:9" ht="9.9499999999999993" customHeight="1" thickBot="1" x14ac:dyDescent="0.25">
      <c r="A119" s="772"/>
      <c r="G119" s="922"/>
      <c r="H119" s="885"/>
    </row>
    <row r="120" spans="1:9" ht="27" customHeight="1" x14ac:dyDescent="0.2">
      <c r="A120" s="1228" t="s">
        <v>342</v>
      </c>
      <c r="B120" s="1229"/>
      <c r="C120" s="1229"/>
      <c r="D120" s="1229"/>
      <c r="E120" s="1229"/>
      <c r="F120" s="1229"/>
      <c r="G120" s="1229"/>
      <c r="H120" s="1230"/>
    </row>
    <row r="121" spans="1:9" ht="30" customHeight="1" x14ac:dyDescent="0.2">
      <c r="A121" s="234" t="s">
        <v>429</v>
      </c>
      <c r="B121" s="235">
        <f t="shared" ref="B121:G121" si="22">+B56</f>
        <v>1011211</v>
      </c>
      <c r="C121" s="797">
        <f t="shared" si="22"/>
        <v>500623.16</v>
      </c>
      <c r="D121" s="239">
        <f t="shared" si="22"/>
        <v>349860</v>
      </c>
      <c r="E121" s="241">
        <f t="shared" si="22"/>
        <v>824328.95</v>
      </c>
      <c r="F121" s="241">
        <f t="shared" si="22"/>
        <v>449504.41</v>
      </c>
      <c r="G121" s="104">
        <f t="shared" si="22"/>
        <v>50420</v>
      </c>
      <c r="H121" s="1197">
        <f t="shared" ref="H121:H125" si="23">G121/D121*100</f>
        <v>14.411478877265191</v>
      </c>
      <c r="I121" s="217"/>
    </row>
    <row r="122" spans="1:9" ht="30" customHeight="1" x14ac:dyDescent="0.2">
      <c r="A122" s="234" t="s">
        <v>430</v>
      </c>
      <c r="B122" s="235">
        <f t="shared" ref="B122:G123" si="24">+B58</f>
        <v>778399</v>
      </c>
      <c r="C122" s="797">
        <f t="shared" si="24"/>
        <v>74236.539999999994</v>
      </c>
      <c r="D122" s="239">
        <f t="shared" si="24"/>
        <v>1097422</v>
      </c>
      <c r="E122" s="241">
        <f t="shared" si="24"/>
        <v>941421.74</v>
      </c>
      <c r="F122" s="241">
        <f t="shared" si="24"/>
        <v>60071.519999999997</v>
      </c>
      <c r="G122" s="104">
        <f t="shared" si="24"/>
        <v>761474</v>
      </c>
      <c r="H122" s="1197">
        <f t="shared" si="23"/>
        <v>69.387528225240615</v>
      </c>
      <c r="I122" s="217"/>
    </row>
    <row r="123" spans="1:9" ht="30" customHeight="1" x14ac:dyDescent="0.2">
      <c r="A123" s="234" t="s">
        <v>431</v>
      </c>
      <c r="B123" s="235">
        <f t="shared" si="24"/>
        <v>66703</v>
      </c>
      <c r="C123" s="797">
        <f t="shared" si="24"/>
        <v>2396.33</v>
      </c>
      <c r="D123" s="239">
        <f t="shared" si="24"/>
        <v>283703</v>
      </c>
      <c r="E123" s="241">
        <f t="shared" si="24"/>
        <v>283703</v>
      </c>
      <c r="F123" s="241">
        <f t="shared" si="24"/>
        <v>242.2</v>
      </c>
      <c r="G123" s="104">
        <f t="shared" si="24"/>
        <v>54535</v>
      </c>
      <c r="H123" s="1197">
        <f t="shared" si="23"/>
        <v>19.222567262242556</v>
      </c>
      <c r="I123" s="217"/>
    </row>
    <row r="124" spans="1:9" ht="30" customHeight="1" thickBot="1" x14ac:dyDescent="0.25">
      <c r="A124" s="234" t="s">
        <v>432</v>
      </c>
      <c r="B124" s="235">
        <f t="shared" ref="B124:G124" si="25">+B61</f>
        <v>134213</v>
      </c>
      <c r="C124" s="797">
        <f t="shared" si="25"/>
        <v>35214.11</v>
      </c>
      <c r="D124" s="239">
        <f t="shared" si="25"/>
        <v>342215</v>
      </c>
      <c r="E124" s="241">
        <f t="shared" si="25"/>
        <v>343955.72</v>
      </c>
      <c r="F124" s="241">
        <f t="shared" si="25"/>
        <v>52092.78</v>
      </c>
      <c r="G124" s="104">
        <f t="shared" si="25"/>
        <v>213333</v>
      </c>
      <c r="H124" s="1197">
        <f t="shared" si="23"/>
        <v>62.338880528322839</v>
      </c>
      <c r="I124" s="217"/>
    </row>
    <row r="125" spans="1:9" ht="20.100000000000001" customHeight="1" thickBot="1" x14ac:dyDescent="0.25">
      <c r="A125" s="819" t="s">
        <v>14</v>
      </c>
      <c r="B125" s="947">
        <f t="shared" ref="B125:G125" si="26">SUM(B121:B124)</f>
        <v>1990526</v>
      </c>
      <c r="C125" s="1040">
        <f t="shared" si="26"/>
        <v>612470.1399999999</v>
      </c>
      <c r="D125" s="941">
        <f t="shared" si="26"/>
        <v>2073200</v>
      </c>
      <c r="E125" s="820">
        <f t="shared" si="26"/>
        <v>2393409.41</v>
      </c>
      <c r="F125" s="942">
        <f t="shared" si="26"/>
        <v>561910.91</v>
      </c>
      <c r="G125" s="818">
        <f t="shared" si="26"/>
        <v>1079762</v>
      </c>
      <c r="H125" s="880">
        <f t="shared" si="23"/>
        <v>52.081902373142967</v>
      </c>
    </row>
    <row r="126" spans="1:9" ht="9.9499999999999993" customHeight="1" thickBot="1" x14ac:dyDescent="0.25">
      <c r="A126" s="772"/>
      <c r="G126" s="773"/>
      <c r="H126" s="177"/>
    </row>
    <row r="127" spans="1:9" ht="30" customHeight="1" thickBot="1" x14ac:dyDescent="0.25">
      <c r="A127" s="800" t="s">
        <v>343</v>
      </c>
      <c r="B127" s="211">
        <f>+B118-B125</f>
        <v>0</v>
      </c>
      <c r="C127" s="1039">
        <f>+C118-C125</f>
        <v>0</v>
      </c>
      <c r="D127" s="211">
        <f>+D118-D125</f>
        <v>0</v>
      </c>
      <c r="E127" s="213">
        <f t="shared" ref="E127:G127" si="27">+E118-E125</f>
        <v>0</v>
      </c>
      <c r="F127" s="943">
        <f t="shared" si="27"/>
        <v>0</v>
      </c>
      <c r="G127" s="147">
        <f t="shared" si="27"/>
        <v>0</v>
      </c>
      <c r="H127" s="875" t="s">
        <v>60</v>
      </c>
    </row>
    <row r="128" spans="1:9" ht="12.75" customHeight="1" x14ac:dyDescent="0.2">
      <c r="A128" s="738"/>
      <c r="G128" s="33"/>
    </row>
    <row r="129" spans="7:7" ht="12.75" customHeight="1" x14ac:dyDescent="0.2">
      <c r="G129" s="33"/>
    </row>
    <row r="130" spans="7:7" ht="12.75" customHeight="1" x14ac:dyDescent="0.2">
      <c r="G130" s="33"/>
    </row>
    <row r="131" spans="7:7" ht="12.75" customHeight="1" x14ac:dyDescent="0.2">
      <c r="G131" s="33"/>
    </row>
    <row r="132" spans="7:7" ht="12.75" customHeight="1" x14ac:dyDescent="0.2">
      <c r="G132" s="33"/>
    </row>
    <row r="133" spans="7:7" ht="12.75" customHeight="1" x14ac:dyDescent="0.2"/>
    <row r="134" spans="7:7" ht="12.75" customHeight="1" x14ac:dyDescent="0.2"/>
    <row r="135" spans="7:7" ht="12.75" customHeight="1" x14ac:dyDescent="0.2"/>
    <row r="443" spans="1:1" x14ac:dyDescent="0.2">
      <c r="A443" s="740"/>
    </row>
  </sheetData>
  <mergeCells count="18">
    <mergeCell ref="A102:H102"/>
    <mergeCell ref="A112:H112"/>
    <mergeCell ref="A120:H120"/>
    <mergeCell ref="A89:A90"/>
    <mergeCell ref="B89:C89"/>
    <mergeCell ref="D89:F89"/>
    <mergeCell ref="G89:G90"/>
    <mergeCell ref="H89:H90"/>
    <mergeCell ref="A76:H76"/>
    <mergeCell ref="A91:H91"/>
    <mergeCell ref="A9:H9"/>
    <mergeCell ref="A34:H34"/>
    <mergeCell ref="H7:H8"/>
    <mergeCell ref="A45:H45"/>
    <mergeCell ref="A7:A8"/>
    <mergeCell ref="B7:C7"/>
    <mergeCell ref="D7:F7"/>
    <mergeCell ref="G7:G8"/>
  </mergeCells>
  <printOptions horizontalCentered="1"/>
  <pageMargins left="0" right="0" top="0.59055118110236227" bottom="0.59055118110236227" header="0.31496062992125984" footer="0.31496062992125984"/>
  <pageSetup paperSize="8" scale="72"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14"/>
  <sheetViews>
    <sheetView workbookViewId="0"/>
  </sheetViews>
  <sheetFormatPr defaultRowHeight="12.75" x14ac:dyDescent="0.2"/>
  <cols>
    <col min="1" max="1" width="7.7109375" style="1" customWidth="1"/>
    <col min="2" max="2" width="47.7109375" style="1" customWidth="1"/>
    <col min="3" max="3" width="14.7109375" style="2" customWidth="1"/>
    <col min="4" max="4" width="14.7109375" style="3" customWidth="1"/>
    <col min="5" max="5" width="14.7109375" style="2" customWidth="1"/>
    <col min="6" max="8" width="14.7109375" style="3" customWidth="1"/>
    <col min="9" max="9" width="15.5703125" style="3" customWidth="1"/>
    <col min="10" max="10" width="14.7109375" style="3" customWidth="1"/>
    <col min="11" max="11" width="13.85546875" style="843" customWidth="1"/>
    <col min="12" max="12" width="11" style="5" customWidth="1"/>
    <col min="13" max="13" width="10.140625" style="5" customWidth="1"/>
    <col min="14" max="256" width="9.140625" style="1"/>
    <col min="257" max="257" width="6.7109375" style="1" customWidth="1"/>
    <col min="258" max="258" width="41.5703125" style="1" customWidth="1"/>
    <col min="259" max="266" width="14.7109375" style="1" customWidth="1"/>
    <col min="267" max="267" width="16.7109375" style="1" customWidth="1"/>
    <col min="268" max="268" width="10.140625" style="1" bestFit="1" customWidth="1"/>
    <col min="269" max="269" width="10.140625" style="1" customWidth="1"/>
    <col min="270" max="512" width="9.140625" style="1"/>
    <col min="513" max="513" width="6.7109375" style="1" customWidth="1"/>
    <col min="514" max="514" width="41.5703125" style="1" customWidth="1"/>
    <col min="515" max="522" width="14.7109375" style="1" customWidth="1"/>
    <col min="523" max="523" width="16.7109375" style="1" customWidth="1"/>
    <col min="524" max="524" width="10.140625" style="1" bestFit="1" customWidth="1"/>
    <col min="525" max="525" width="10.140625" style="1" customWidth="1"/>
    <col min="526" max="768" width="9.140625" style="1"/>
    <col min="769" max="769" width="6.7109375" style="1" customWidth="1"/>
    <col min="770" max="770" width="41.5703125" style="1" customWidth="1"/>
    <col min="771" max="778" width="14.7109375" style="1" customWidth="1"/>
    <col min="779" max="779" width="16.7109375" style="1" customWidth="1"/>
    <col min="780" max="780" width="10.140625" style="1" bestFit="1" customWidth="1"/>
    <col min="781" max="781" width="10.140625" style="1" customWidth="1"/>
    <col min="782" max="1024" width="9.140625" style="1"/>
    <col min="1025" max="1025" width="6.7109375" style="1" customWidth="1"/>
    <col min="1026" max="1026" width="41.5703125" style="1" customWidth="1"/>
    <col min="1027" max="1034" width="14.7109375" style="1" customWidth="1"/>
    <col min="1035" max="1035" width="16.7109375" style="1" customWidth="1"/>
    <col min="1036" max="1036" width="10.140625" style="1" bestFit="1" customWidth="1"/>
    <col min="1037" max="1037" width="10.140625" style="1" customWidth="1"/>
    <col min="1038" max="1280" width="9.140625" style="1"/>
    <col min="1281" max="1281" width="6.7109375" style="1" customWidth="1"/>
    <col min="1282" max="1282" width="41.5703125" style="1" customWidth="1"/>
    <col min="1283" max="1290" width="14.7109375" style="1" customWidth="1"/>
    <col min="1291" max="1291" width="16.7109375" style="1" customWidth="1"/>
    <col min="1292" max="1292" width="10.140625" style="1" bestFit="1" customWidth="1"/>
    <col min="1293" max="1293" width="10.140625" style="1" customWidth="1"/>
    <col min="1294" max="1536" width="9.140625" style="1"/>
    <col min="1537" max="1537" width="6.7109375" style="1" customWidth="1"/>
    <col min="1538" max="1538" width="41.5703125" style="1" customWidth="1"/>
    <col min="1539" max="1546" width="14.7109375" style="1" customWidth="1"/>
    <col min="1547" max="1547" width="16.7109375" style="1" customWidth="1"/>
    <col min="1548" max="1548" width="10.140625" style="1" bestFit="1" customWidth="1"/>
    <col min="1549" max="1549" width="10.140625" style="1" customWidth="1"/>
    <col min="1550" max="1792" width="9.140625" style="1"/>
    <col min="1793" max="1793" width="6.7109375" style="1" customWidth="1"/>
    <col min="1794" max="1794" width="41.5703125" style="1" customWidth="1"/>
    <col min="1795" max="1802" width="14.7109375" style="1" customWidth="1"/>
    <col min="1803" max="1803" width="16.7109375" style="1" customWidth="1"/>
    <col min="1804" max="1804" width="10.140625" style="1" bestFit="1" customWidth="1"/>
    <col min="1805" max="1805" width="10.140625" style="1" customWidth="1"/>
    <col min="1806" max="2048" width="9.140625" style="1"/>
    <col min="2049" max="2049" width="6.7109375" style="1" customWidth="1"/>
    <col min="2050" max="2050" width="41.5703125" style="1" customWidth="1"/>
    <col min="2051" max="2058" width="14.7109375" style="1" customWidth="1"/>
    <col min="2059" max="2059" width="16.7109375" style="1" customWidth="1"/>
    <col min="2060" max="2060" width="10.140625" style="1" bestFit="1" customWidth="1"/>
    <col min="2061" max="2061" width="10.140625" style="1" customWidth="1"/>
    <col min="2062" max="2304" width="9.140625" style="1"/>
    <col min="2305" max="2305" width="6.7109375" style="1" customWidth="1"/>
    <col min="2306" max="2306" width="41.5703125" style="1" customWidth="1"/>
    <col min="2307" max="2314" width="14.7109375" style="1" customWidth="1"/>
    <col min="2315" max="2315" width="16.7109375" style="1" customWidth="1"/>
    <col min="2316" max="2316" width="10.140625" style="1" bestFit="1" customWidth="1"/>
    <col min="2317" max="2317" width="10.140625" style="1" customWidth="1"/>
    <col min="2318" max="2560" width="9.140625" style="1"/>
    <col min="2561" max="2561" width="6.7109375" style="1" customWidth="1"/>
    <col min="2562" max="2562" width="41.5703125" style="1" customWidth="1"/>
    <col min="2563" max="2570" width="14.7109375" style="1" customWidth="1"/>
    <col min="2571" max="2571" width="16.7109375" style="1" customWidth="1"/>
    <col min="2572" max="2572" width="10.140625" style="1" bestFit="1" customWidth="1"/>
    <col min="2573" max="2573" width="10.140625" style="1" customWidth="1"/>
    <col min="2574" max="2816" width="9.140625" style="1"/>
    <col min="2817" max="2817" width="6.7109375" style="1" customWidth="1"/>
    <col min="2818" max="2818" width="41.5703125" style="1" customWidth="1"/>
    <col min="2819" max="2826" width="14.7109375" style="1" customWidth="1"/>
    <col min="2827" max="2827" width="16.7109375" style="1" customWidth="1"/>
    <col min="2828" max="2828" width="10.140625" style="1" bestFit="1" customWidth="1"/>
    <col min="2829" max="2829" width="10.140625" style="1" customWidth="1"/>
    <col min="2830" max="3072" width="9.140625" style="1"/>
    <col min="3073" max="3073" width="6.7109375" style="1" customWidth="1"/>
    <col min="3074" max="3074" width="41.5703125" style="1" customWidth="1"/>
    <col min="3075" max="3082" width="14.7109375" style="1" customWidth="1"/>
    <col min="3083" max="3083" width="16.7109375" style="1" customWidth="1"/>
    <col min="3084" max="3084" width="10.140625" style="1" bestFit="1" customWidth="1"/>
    <col min="3085" max="3085" width="10.140625" style="1" customWidth="1"/>
    <col min="3086" max="3328" width="9.140625" style="1"/>
    <col min="3329" max="3329" width="6.7109375" style="1" customWidth="1"/>
    <col min="3330" max="3330" width="41.5703125" style="1" customWidth="1"/>
    <col min="3331" max="3338" width="14.7109375" style="1" customWidth="1"/>
    <col min="3339" max="3339" width="16.7109375" style="1" customWidth="1"/>
    <col min="3340" max="3340" width="10.140625" style="1" bestFit="1" customWidth="1"/>
    <col min="3341" max="3341" width="10.140625" style="1" customWidth="1"/>
    <col min="3342" max="3584" width="9.140625" style="1"/>
    <col min="3585" max="3585" width="6.7109375" style="1" customWidth="1"/>
    <col min="3586" max="3586" width="41.5703125" style="1" customWidth="1"/>
    <col min="3587" max="3594" width="14.7109375" style="1" customWidth="1"/>
    <col min="3595" max="3595" width="16.7109375" style="1" customWidth="1"/>
    <col min="3596" max="3596" width="10.140625" style="1" bestFit="1" customWidth="1"/>
    <col min="3597" max="3597" width="10.140625" style="1" customWidth="1"/>
    <col min="3598" max="3840" width="9.140625" style="1"/>
    <col min="3841" max="3841" width="6.7109375" style="1" customWidth="1"/>
    <col min="3842" max="3842" width="41.5703125" style="1" customWidth="1"/>
    <col min="3843" max="3850" width="14.7109375" style="1" customWidth="1"/>
    <col min="3851" max="3851" width="16.7109375" style="1" customWidth="1"/>
    <col min="3852" max="3852" width="10.140625" style="1" bestFit="1" customWidth="1"/>
    <col min="3853" max="3853" width="10.140625" style="1" customWidth="1"/>
    <col min="3854" max="4096" width="9.140625" style="1"/>
    <col min="4097" max="4097" width="6.7109375" style="1" customWidth="1"/>
    <col min="4098" max="4098" width="41.5703125" style="1" customWidth="1"/>
    <col min="4099" max="4106" width="14.7109375" style="1" customWidth="1"/>
    <col min="4107" max="4107" width="16.7109375" style="1" customWidth="1"/>
    <col min="4108" max="4108" width="10.140625" style="1" bestFit="1" customWidth="1"/>
    <col min="4109" max="4109" width="10.140625" style="1" customWidth="1"/>
    <col min="4110" max="4352" width="9.140625" style="1"/>
    <col min="4353" max="4353" width="6.7109375" style="1" customWidth="1"/>
    <col min="4354" max="4354" width="41.5703125" style="1" customWidth="1"/>
    <col min="4355" max="4362" width="14.7109375" style="1" customWidth="1"/>
    <col min="4363" max="4363" width="16.7109375" style="1" customWidth="1"/>
    <col min="4364" max="4364" width="10.140625" style="1" bestFit="1" customWidth="1"/>
    <col min="4365" max="4365" width="10.140625" style="1" customWidth="1"/>
    <col min="4366" max="4608" width="9.140625" style="1"/>
    <col min="4609" max="4609" width="6.7109375" style="1" customWidth="1"/>
    <col min="4610" max="4610" width="41.5703125" style="1" customWidth="1"/>
    <col min="4611" max="4618" width="14.7109375" style="1" customWidth="1"/>
    <col min="4619" max="4619" width="16.7109375" style="1" customWidth="1"/>
    <col min="4620" max="4620" width="10.140625" style="1" bestFit="1" customWidth="1"/>
    <col min="4621" max="4621" width="10.140625" style="1" customWidth="1"/>
    <col min="4622" max="4864" width="9.140625" style="1"/>
    <col min="4865" max="4865" width="6.7109375" style="1" customWidth="1"/>
    <col min="4866" max="4866" width="41.5703125" style="1" customWidth="1"/>
    <col min="4867" max="4874" width="14.7109375" style="1" customWidth="1"/>
    <col min="4875" max="4875" width="16.7109375" style="1" customWidth="1"/>
    <col min="4876" max="4876" width="10.140625" style="1" bestFit="1" customWidth="1"/>
    <col min="4877" max="4877" width="10.140625" style="1" customWidth="1"/>
    <col min="4878" max="5120" width="9.140625" style="1"/>
    <col min="5121" max="5121" width="6.7109375" style="1" customWidth="1"/>
    <col min="5122" max="5122" width="41.5703125" style="1" customWidth="1"/>
    <col min="5123" max="5130" width="14.7109375" style="1" customWidth="1"/>
    <col min="5131" max="5131" width="16.7109375" style="1" customWidth="1"/>
    <col min="5132" max="5132" width="10.140625" style="1" bestFit="1" customWidth="1"/>
    <col min="5133" max="5133" width="10.140625" style="1" customWidth="1"/>
    <col min="5134" max="5376" width="9.140625" style="1"/>
    <col min="5377" max="5377" width="6.7109375" style="1" customWidth="1"/>
    <col min="5378" max="5378" width="41.5703125" style="1" customWidth="1"/>
    <col min="5379" max="5386" width="14.7109375" style="1" customWidth="1"/>
    <col min="5387" max="5387" width="16.7109375" style="1" customWidth="1"/>
    <col min="5388" max="5388" width="10.140625" style="1" bestFit="1" customWidth="1"/>
    <col min="5389" max="5389" width="10.140625" style="1" customWidth="1"/>
    <col min="5390" max="5632" width="9.140625" style="1"/>
    <col min="5633" max="5633" width="6.7109375" style="1" customWidth="1"/>
    <col min="5634" max="5634" width="41.5703125" style="1" customWidth="1"/>
    <col min="5635" max="5642" width="14.7109375" style="1" customWidth="1"/>
    <col min="5643" max="5643" width="16.7109375" style="1" customWidth="1"/>
    <col min="5644" max="5644" width="10.140625" style="1" bestFit="1" customWidth="1"/>
    <col min="5645" max="5645" width="10.140625" style="1" customWidth="1"/>
    <col min="5646" max="5888" width="9.140625" style="1"/>
    <col min="5889" max="5889" width="6.7109375" style="1" customWidth="1"/>
    <col min="5890" max="5890" width="41.5703125" style="1" customWidth="1"/>
    <col min="5891" max="5898" width="14.7109375" style="1" customWidth="1"/>
    <col min="5899" max="5899" width="16.7109375" style="1" customWidth="1"/>
    <col min="5900" max="5900" width="10.140625" style="1" bestFit="1" customWidth="1"/>
    <col min="5901" max="5901" width="10.140625" style="1" customWidth="1"/>
    <col min="5902" max="6144" width="9.140625" style="1"/>
    <col min="6145" max="6145" width="6.7109375" style="1" customWidth="1"/>
    <col min="6146" max="6146" width="41.5703125" style="1" customWidth="1"/>
    <col min="6147" max="6154" width="14.7109375" style="1" customWidth="1"/>
    <col min="6155" max="6155" width="16.7109375" style="1" customWidth="1"/>
    <col min="6156" max="6156" width="10.140625" style="1" bestFit="1" customWidth="1"/>
    <col min="6157" max="6157" width="10.140625" style="1" customWidth="1"/>
    <col min="6158" max="6400" width="9.140625" style="1"/>
    <col min="6401" max="6401" width="6.7109375" style="1" customWidth="1"/>
    <col min="6402" max="6402" width="41.5703125" style="1" customWidth="1"/>
    <col min="6403" max="6410" width="14.7109375" style="1" customWidth="1"/>
    <col min="6411" max="6411" width="16.7109375" style="1" customWidth="1"/>
    <col min="6412" max="6412" width="10.140625" style="1" bestFit="1" customWidth="1"/>
    <col min="6413" max="6413" width="10.140625" style="1" customWidth="1"/>
    <col min="6414" max="6656" width="9.140625" style="1"/>
    <col min="6657" max="6657" width="6.7109375" style="1" customWidth="1"/>
    <col min="6658" max="6658" width="41.5703125" style="1" customWidth="1"/>
    <col min="6659" max="6666" width="14.7109375" style="1" customWidth="1"/>
    <col min="6667" max="6667" width="16.7109375" style="1" customWidth="1"/>
    <col min="6668" max="6668" width="10.140625" style="1" bestFit="1" customWidth="1"/>
    <col min="6669" max="6669" width="10.140625" style="1" customWidth="1"/>
    <col min="6670" max="6912" width="9.140625" style="1"/>
    <col min="6913" max="6913" width="6.7109375" style="1" customWidth="1"/>
    <col min="6914" max="6914" width="41.5703125" style="1" customWidth="1"/>
    <col min="6915" max="6922" width="14.7109375" style="1" customWidth="1"/>
    <col min="6923" max="6923" width="16.7109375" style="1" customWidth="1"/>
    <col min="6924" max="6924" width="10.140625" style="1" bestFit="1" customWidth="1"/>
    <col min="6925" max="6925" width="10.140625" style="1" customWidth="1"/>
    <col min="6926" max="7168" width="9.140625" style="1"/>
    <col min="7169" max="7169" width="6.7109375" style="1" customWidth="1"/>
    <col min="7170" max="7170" width="41.5703125" style="1" customWidth="1"/>
    <col min="7171" max="7178" width="14.7109375" style="1" customWidth="1"/>
    <col min="7179" max="7179" width="16.7109375" style="1" customWidth="1"/>
    <col min="7180" max="7180" width="10.140625" style="1" bestFit="1" customWidth="1"/>
    <col min="7181" max="7181" width="10.140625" style="1" customWidth="1"/>
    <col min="7182" max="7424" width="9.140625" style="1"/>
    <col min="7425" max="7425" width="6.7109375" style="1" customWidth="1"/>
    <col min="7426" max="7426" width="41.5703125" style="1" customWidth="1"/>
    <col min="7427" max="7434" width="14.7109375" style="1" customWidth="1"/>
    <col min="7435" max="7435" width="16.7109375" style="1" customWidth="1"/>
    <col min="7436" max="7436" width="10.140625" style="1" bestFit="1" customWidth="1"/>
    <col min="7437" max="7437" width="10.140625" style="1" customWidth="1"/>
    <col min="7438" max="7680" width="9.140625" style="1"/>
    <col min="7681" max="7681" width="6.7109375" style="1" customWidth="1"/>
    <col min="7682" max="7682" width="41.5703125" style="1" customWidth="1"/>
    <col min="7683" max="7690" width="14.7109375" style="1" customWidth="1"/>
    <col min="7691" max="7691" width="16.7109375" style="1" customWidth="1"/>
    <col min="7692" max="7692" width="10.140625" style="1" bestFit="1" customWidth="1"/>
    <col min="7693" max="7693" width="10.140625" style="1" customWidth="1"/>
    <col min="7694" max="7936" width="9.140625" style="1"/>
    <col min="7937" max="7937" width="6.7109375" style="1" customWidth="1"/>
    <col min="7938" max="7938" width="41.5703125" style="1" customWidth="1"/>
    <col min="7939" max="7946" width="14.7109375" style="1" customWidth="1"/>
    <col min="7947" max="7947" width="16.7109375" style="1" customWidth="1"/>
    <col min="7948" max="7948" width="10.140625" style="1" bestFit="1" customWidth="1"/>
    <col min="7949" max="7949" width="10.140625" style="1" customWidth="1"/>
    <col min="7950" max="8192" width="9.140625" style="1"/>
    <col min="8193" max="8193" width="6.7109375" style="1" customWidth="1"/>
    <col min="8194" max="8194" width="41.5703125" style="1" customWidth="1"/>
    <col min="8195" max="8202" width="14.7109375" style="1" customWidth="1"/>
    <col min="8203" max="8203" width="16.7109375" style="1" customWidth="1"/>
    <col min="8204" max="8204" width="10.140625" style="1" bestFit="1" customWidth="1"/>
    <col min="8205" max="8205" width="10.140625" style="1" customWidth="1"/>
    <col min="8206" max="8448" width="9.140625" style="1"/>
    <col min="8449" max="8449" width="6.7109375" style="1" customWidth="1"/>
    <col min="8450" max="8450" width="41.5703125" style="1" customWidth="1"/>
    <col min="8451" max="8458" width="14.7109375" style="1" customWidth="1"/>
    <col min="8459" max="8459" width="16.7109375" style="1" customWidth="1"/>
    <col min="8460" max="8460" width="10.140625" style="1" bestFit="1" customWidth="1"/>
    <col min="8461" max="8461" width="10.140625" style="1" customWidth="1"/>
    <col min="8462" max="8704" width="9.140625" style="1"/>
    <col min="8705" max="8705" width="6.7109375" style="1" customWidth="1"/>
    <col min="8706" max="8706" width="41.5703125" style="1" customWidth="1"/>
    <col min="8707" max="8714" width="14.7109375" style="1" customWidth="1"/>
    <col min="8715" max="8715" width="16.7109375" style="1" customWidth="1"/>
    <col min="8716" max="8716" width="10.140625" style="1" bestFit="1" customWidth="1"/>
    <col min="8717" max="8717" width="10.140625" style="1" customWidth="1"/>
    <col min="8718" max="8960" width="9.140625" style="1"/>
    <col min="8961" max="8961" width="6.7109375" style="1" customWidth="1"/>
    <col min="8962" max="8962" width="41.5703125" style="1" customWidth="1"/>
    <col min="8963" max="8970" width="14.7109375" style="1" customWidth="1"/>
    <col min="8971" max="8971" width="16.7109375" style="1" customWidth="1"/>
    <col min="8972" max="8972" width="10.140625" style="1" bestFit="1" customWidth="1"/>
    <col min="8973" max="8973" width="10.140625" style="1" customWidth="1"/>
    <col min="8974" max="9216" width="9.140625" style="1"/>
    <col min="9217" max="9217" width="6.7109375" style="1" customWidth="1"/>
    <col min="9218" max="9218" width="41.5703125" style="1" customWidth="1"/>
    <col min="9219" max="9226" width="14.7109375" style="1" customWidth="1"/>
    <col min="9227" max="9227" width="16.7109375" style="1" customWidth="1"/>
    <col min="9228" max="9228" width="10.140625" style="1" bestFit="1" customWidth="1"/>
    <col min="9229" max="9229" width="10.140625" style="1" customWidth="1"/>
    <col min="9230" max="9472" width="9.140625" style="1"/>
    <col min="9473" max="9473" width="6.7109375" style="1" customWidth="1"/>
    <col min="9474" max="9474" width="41.5703125" style="1" customWidth="1"/>
    <col min="9475" max="9482" width="14.7109375" style="1" customWidth="1"/>
    <col min="9483" max="9483" width="16.7109375" style="1" customWidth="1"/>
    <col min="9484" max="9484" width="10.140625" style="1" bestFit="1" customWidth="1"/>
    <col min="9485" max="9485" width="10.140625" style="1" customWidth="1"/>
    <col min="9486" max="9728" width="9.140625" style="1"/>
    <col min="9729" max="9729" width="6.7109375" style="1" customWidth="1"/>
    <col min="9730" max="9730" width="41.5703125" style="1" customWidth="1"/>
    <col min="9731" max="9738" width="14.7109375" style="1" customWidth="1"/>
    <col min="9739" max="9739" width="16.7109375" style="1" customWidth="1"/>
    <col min="9740" max="9740" width="10.140625" style="1" bestFit="1" customWidth="1"/>
    <col min="9741" max="9741" width="10.140625" style="1" customWidth="1"/>
    <col min="9742" max="9984" width="9.140625" style="1"/>
    <col min="9985" max="9985" width="6.7109375" style="1" customWidth="1"/>
    <col min="9986" max="9986" width="41.5703125" style="1" customWidth="1"/>
    <col min="9987" max="9994" width="14.7109375" style="1" customWidth="1"/>
    <col min="9995" max="9995" width="16.7109375" style="1" customWidth="1"/>
    <col min="9996" max="9996" width="10.140625" style="1" bestFit="1" customWidth="1"/>
    <col min="9997" max="9997" width="10.140625" style="1" customWidth="1"/>
    <col min="9998" max="10240" width="9.140625" style="1"/>
    <col min="10241" max="10241" width="6.7109375" style="1" customWidth="1"/>
    <col min="10242" max="10242" width="41.5703125" style="1" customWidth="1"/>
    <col min="10243" max="10250" width="14.7109375" style="1" customWidth="1"/>
    <col min="10251" max="10251" width="16.7109375" style="1" customWidth="1"/>
    <col min="10252" max="10252" width="10.140625" style="1" bestFit="1" customWidth="1"/>
    <col min="10253" max="10253" width="10.140625" style="1" customWidth="1"/>
    <col min="10254" max="10496" width="9.140625" style="1"/>
    <col min="10497" max="10497" width="6.7109375" style="1" customWidth="1"/>
    <col min="10498" max="10498" width="41.5703125" style="1" customWidth="1"/>
    <col min="10499" max="10506" width="14.7109375" style="1" customWidth="1"/>
    <col min="10507" max="10507" width="16.7109375" style="1" customWidth="1"/>
    <col min="10508" max="10508" width="10.140625" style="1" bestFit="1" customWidth="1"/>
    <col min="10509" max="10509" width="10.140625" style="1" customWidth="1"/>
    <col min="10510" max="10752" width="9.140625" style="1"/>
    <col min="10753" max="10753" width="6.7109375" style="1" customWidth="1"/>
    <col min="10754" max="10754" width="41.5703125" style="1" customWidth="1"/>
    <col min="10755" max="10762" width="14.7109375" style="1" customWidth="1"/>
    <col min="10763" max="10763" width="16.7109375" style="1" customWidth="1"/>
    <col min="10764" max="10764" width="10.140625" style="1" bestFit="1" customWidth="1"/>
    <col min="10765" max="10765" width="10.140625" style="1" customWidth="1"/>
    <col min="10766" max="11008" width="9.140625" style="1"/>
    <col min="11009" max="11009" width="6.7109375" style="1" customWidth="1"/>
    <col min="11010" max="11010" width="41.5703125" style="1" customWidth="1"/>
    <col min="11011" max="11018" width="14.7109375" style="1" customWidth="1"/>
    <col min="11019" max="11019" width="16.7109375" style="1" customWidth="1"/>
    <col min="11020" max="11020" width="10.140625" style="1" bestFit="1" customWidth="1"/>
    <col min="11021" max="11021" width="10.140625" style="1" customWidth="1"/>
    <col min="11022" max="11264" width="9.140625" style="1"/>
    <col min="11265" max="11265" width="6.7109375" style="1" customWidth="1"/>
    <col min="11266" max="11266" width="41.5703125" style="1" customWidth="1"/>
    <col min="11267" max="11274" width="14.7109375" style="1" customWidth="1"/>
    <col min="11275" max="11275" width="16.7109375" style="1" customWidth="1"/>
    <col min="11276" max="11276" width="10.140625" style="1" bestFit="1" customWidth="1"/>
    <col min="11277" max="11277" width="10.140625" style="1" customWidth="1"/>
    <col min="11278" max="11520" width="9.140625" style="1"/>
    <col min="11521" max="11521" width="6.7109375" style="1" customWidth="1"/>
    <col min="11522" max="11522" width="41.5703125" style="1" customWidth="1"/>
    <col min="11523" max="11530" width="14.7109375" style="1" customWidth="1"/>
    <col min="11531" max="11531" width="16.7109375" style="1" customWidth="1"/>
    <col min="11532" max="11532" width="10.140625" style="1" bestFit="1" customWidth="1"/>
    <col min="11533" max="11533" width="10.140625" style="1" customWidth="1"/>
    <col min="11534" max="11776" width="9.140625" style="1"/>
    <col min="11777" max="11777" width="6.7109375" style="1" customWidth="1"/>
    <col min="11778" max="11778" width="41.5703125" style="1" customWidth="1"/>
    <col min="11779" max="11786" width="14.7109375" style="1" customWidth="1"/>
    <col min="11787" max="11787" width="16.7109375" style="1" customWidth="1"/>
    <col min="11788" max="11788" width="10.140625" style="1" bestFit="1" customWidth="1"/>
    <col min="11789" max="11789" width="10.140625" style="1" customWidth="1"/>
    <col min="11790" max="12032" width="9.140625" style="1"/>
    <col min="12033" max="12033" width="6.7109375" style="1" customWidth="1"/>
    <col min="12034" max="12034" width="41.5703125" style="1" customWidth="1"/>
    <col min="12035" max="12042" width="14.7109375" style="1" customWidth="1"/>
    <col min="12043" max="12043" width="16.7109375" style="1" customWidth="1"/>
    <col min="12044" max="12044" width="10.140625" style="1" bestFit="1" customWidth="1"/>
    <col min="12045" max="12045" width="10.140625" style="1" customWidth="1"/>
    <col min="12046" max="12288" width="9.140625" style="1"/>
    <col min="12289" max="12289" width="6.7109375" style="1" customWidth="1"/>
    <col min="12290" max="12290" width="41.5703125" style="1" customWidth="1"/>
    <col min="12291" max="12298" width="14.7109375" style="1" customWidth="1"/>
    <col min="12299" max="12299" width="16.7109375" style="1" customWidth="1"/>
    <col min="12300" max="12300" width="10.140625" style="1" bestFit="1" customWidth="1"/>
    <col min="12301" max="12301" width="10.140625" style="1" customWidth="1"/>
    <col min="12302" max="12544" width="9.140625" style="1"/>
    <col min="12545" max="12545" width="6.7109375" style="1" customWidth="1"/>
    <col min="12546" max="12546" width="41.5703125" style="1" customWidth="1"/>
    <col min="12547" max="12554" width="14.7109375" style="1" customWidth="1"/>
    <col min="12555" max="12555" width="16.7109375" style="1" customWidth="1"/>
    <col min="12556" max="12556" width="10.140625" style="1" bestFit="1" customWidth="1"/>
    <col min="12557" max="12557" width="10.140625" style="1" customWidth="1"/>
    <col min="12558" max="12800" width="9.140625" style="1"/>
    <col min="12801" max="12801" width="6.7109375" style="1" customWidth="1"/>
    <col min="12802" max="12802" width="41.5703125" style="1" customWidth="1"/>
    <col min="12803" max="12810" width="14.7109375" style="1" customWidth="1"/>
    <col min="12811" max="12811" width="16.7109375" style="1" customWidth="1"/>
    <col min="12812" max="12812" width="10.140625" style="1" bestFit="1" customWidth="1"/>
    <col min="12813" max="12813" width="10.140625" style="1" customWidth="1"/>
    <col min="12814" max="13056" width="9.140625" style="1"/>
    <col min="13057" max="13057" width="6.7109375" style="1" customWidth="1"/>
    <col min="13058" max="13058" width="41.5703125" style="1" customWidth="1"/>
    <col min="13059" max="13066" width="14.7109375" style="1" customWidth="1"/>
    <col min="13067" max="13067" width="16.7109375" style="1" customWidth="1"/>
    <col min="13068" max="13068" width="10.140625" style="1" bestFit="1" customWidth="1"/>
    <col min="13069" max="13069" width="10.140625" style="1" customWidth="1"/>
    <col min="13070" max="13312" width="9.140625" style="1"/>
    <col min="13313" max="13313" width="6.7109375" style="1" customWidth="1"/>
    <col min="13314" max="13314" width="41.5703125" style="1" customWidth="1"/>
    <col min="13315" max="13322" width="14.7109375" style="1" customWidth="1"/>
    <col min="13323" max="13323" width="16.7109375" style="1" customWidth="1"/>
    <col min="13324" max="13324" width="10.140625" style="1" bestFit="1" customWidth="1"/>
    <col min="13325" max="13325" width="10.140625" style="1" customWidth="1"/>
    <col min="13326" max="13568" width="9.140625" style="1"/>
    <col min="13569" max="13569" width="6.7109375" style="1" customWidth="1"/>
    <col min="13570" max="13570" width="41.5703125" style="1" customWidth="1"/>
    <col min="13571" max="13578" width="14.7109375" style="1" customWidth="1"/>
    <col min="13579" max="13579" width="16.7109375" style="1" customWidth="1"/>
    <col min="13580" max="13580" width="10.140625" style="1" bestFit="1" customWidth="1"/>
    <col min="13581" max="13581" width="10.140625" style="1" customWidth="1"/>
    <col min="13582" max="13824" width="9.140625" style="1"/>
    <col min="13825" max="13825" width="6.7109375" style="1" customWidth="1"/>
    <col min="13826" max="13826" width="41.5703125" style="1" customWidth="1"/>
    <col min="13827" max="13834" width="14.7109375" style="1" customWidth="1"/>
    <col min="13835" max="13835" width="16.7109375" style="1" customWidth="1"/>
    <col min="13836" max="13836" width="10.140625" style="1" bestFit="1" customWidth="1"/>
    <col min="13837" max="13837" width="10.140625" style="1" customWidth="1"/>
    <col min="13838" max="14080" width="9.140625" style="1"/>
    <col min="14081" max="14081" width="6.7109375" style="1" customWidth="1"/>
    <col min="14082" max="14082" width="41.5703125" style="1" customWidth="1"/>
    <col min="14083" max="14090" width="14.7109375" style="1" customWidth="1"/>
    <col min="14091" max="14091" width="16.7109375" style="1" customWidth="1"/>
    <col min="14092" max="14092" width="10.140625" style="1" bestFit="1" customWidth="1"/>
    <col min="14093" max="14093" width="10.140625" style="1" customWidth="1"/>
    <col min="14094" max="14336" width="9.140625" style="1"/>
    <col min="14337" max="14337" width="6.7109375" style="1" customWidth="1"/>
    <col min="14338" max="14338" width="41.5703125" style="1" customWidth="1"/>
    <col min="14339" max="14346" width="14.7109375" style="1" customWidth="1"/>
    <col min="14347" max="14347" width="16.7109375" style="1" customWidth="1"/>
    <col min="14348" max="14348" width="10.140625" style="1" bestFit="1" customWidth="1"/>
    <col min="14349" max="14349" width="10.140625" style="1" customWidth="1"/>
    <col min="14350" max="14592" width="9.140625" style="1"/>
    <col min="14593" max="14593" width="6.7109375" style="1" customWidth="1"/>
    <col min="14594" max="14594" width="41.5703125" style="1" customWidth="1"/>
    <col min="14595" max="14602" width="14.7109375" style="1" customWidth="1"/>
    <col min="14603" max="14603" width="16.7109375" style="1" customWidth="1"/>
    <col min="14604" max="14604" width="10.140625" style="1" bestFit="1" customWidth="1"/>
    <col min="14605" max="14605" width="10.140625" style="1" customWidth="1"/>
    <col min="14606" max="14848" width="9.140625" style="1"/>
    <col min="14849" max="14849" width="6.7109375" style="1" customWidth="1"/>
    <col min="14850" max="14850" width="41.5703125" style="1" customWidth="1"/>
    <col min="14851" max="14858" width="14.7109375" style="1" customWidth="1"/>
    <col min="14859" max="14859" width="16.7109375" style="1" customWidth="1"/>
    <col min="14860" max="14860" width="10.140625" style="1" bestFit="1" customWidth="1"/>
    <col min="14861" max="14861" width="10.140625" style="1" customWidth="1"/>
    <col min="14862" max="15104" width="9.140625" style="1"/>
    <col min="15105" max="15105" width="6.7109375" style="1" customWidth="1"/>
    <col min="15106" max="15106" width="41.5703125" style="1" customWidth="1"/>
    <col min="15107" max="15114" width="14.7109375" style="1" customWidth="1"/>
    <col min="15115" max="15115" width="16.7109375" style="1" customWidth="1"/>
    <col min="15116" max="15116" width="10.140625" style="1" bestFit="1" customWidth="1"/>
    <col min="15117" max="15117" width="10.140625" style="1" customWidth="1"/>
    <col min="15118" max="15360" width="9.140625" style="1"/>
    <col min="15361" max="15361" width="6.7109375" style="1" customWidth="1"/>
    <col min="15362" max="15362" width="41.5703125" style="1" customWidth="1"/>
    <col min="15363" max="15370" width="14.7109375" style="1" customWidth="1"/>
    <col min="15371" max="15371" width="16.7109375" style="1" customWidth="1"/>
    <col min="15372" max="15372" width="10.140625" style="1" bestFit="1" customWidth="1"/>
    <col min="15373" max="15373" width="10.140625" style="1" customWidth="1"/>
    <col min="15374" max="15616" width="9.140625" style="1"/>
    <col min="15617" max="15617" width="6.7109375" style="1" customWidth="1"/>
    <col min="15618" max="15618" width="41.5703125" style="1" customWidth="1"/>
    <col min="15619" max="15626" width="14.7109375" style="1" customWidth="1"/>
    <col min="15627" max="15627" width="16.7109375" style="1" customWidth="1"/>
    <col min="15628" max="15628" width="10.140625" style="1" bestFit="1" customWidth="1"/>
    <col min="15629" max="15629" width="10.140625" style="1" customWidth="1"/>
    <col min="15630" max="15872" width="9.140625" style="1"/>
    <col min="15873" max="15873" width="6.7109375" style="1" customWidth="1"/>
    <col min="15874" max="15874" width="41.5703125" style="1" customWidth="1"/>
    <col min="15875" max="15882" width="14.7109375" style="1" customWidth="1"/>
    <col min="15883" max="15883" width="16.7109375" style="1" customWidth="1"/>
    <col min="15884" max="15884" width="10.140625" style="1" bestFit="1" customWidth="1"/>
    <col min="15885" max="15885" width="10.140625" style="1" customWidth="1"/>
    <col min="15886" max="16128" width="9.140625" style="1"/>
    <col min="16129" max="16129" width="6.7109375" style="1" customWidth="1"/>
    <col min="16130" max="16130" width="41.5703125" style="1" customWidth="1"/>
    <col min="16131" max="16138" width="14.7109375" style="1" customWidth="1"/>
    <col min="16139" max="16139" width="16.7109375" style="1" customWidth="1"/>
    <col min="16140" max="16140" width="10.140625" style="1" bestFit="1" customWidth="1"/>
    <col min="16141" max="16141" width="10.140625" style="1" customWidth="1"/>
    <col min="16142" max="16384" width="9.140625" style="1"/>
  </cols>
  <sheetData>
    <row r="1" spans="1:14" ht="15" x14ac:dyDescent="0.25">
      <c r="M1" s="6"/>
    </row>
    <row r="2" spans="1:14" ht="20.100000000000001" customHeight="1" x14ac:dyDescent="0.35">
      <c r="A2" s="1284" t="s">
        <v>570</v>
      </c>
      <c r="B2" s="1284"/>
      <c r="C2" s="1284"/>
      <c r="D2" s="1284"/>
      <c r="E2" s="1284"/>
      <c r="F2" s="1284"/>
      <c r="G2" s="1284"/>
      <c r="H2" s="1284"/>
      <c r="I2" s="1284"/>
      <c r="J2" s="1284"/>
      <c r="K2" s="1284"/>
      <c r="L2" s="1284"/>
      <c r="M2" s="1284"/>
      <c r="N2" s="29"/>
    </row>
    <row r="3" spans="1:14" ht="15" customHeight="1" x14ac:dyDescent="0.2"/>
    <row r="4" spans="1:14" ht="18.75" x14ac:dyDescent="0.3">
      <c r="A4" s="7" t="s">
        <v>261</v>
      </c>
      <c r="L4" s="8"/>
    </row>
    <row r="5" spans="1:14" ht="15" customHeight="1" thickBot="1" x14ac:dyDescent="0.35">
      <c r="A5" s="7"/>
      <c r="M5" s="8" t="s">
        <v>0</v>
      </c>
    </row>
    <row r="6" spans="1:14" s="26" customFormat="1" ht="15.95" customHeight="1" x14ac:dyDescent="0.2">
      <c r="A6" s="1286" t="s">
        <v>88</v>
      </c>
      <c r="B6" s="1299" t="s">
        <v>103</v>
      </c>
      <c r="C6" s="1288" t="s">
        <v>283</v>
      </c>
      <c r="D6" s="1289"/>
      <c r="E6" s="1288" t="s">
        <v>390</v>
      </c>
      <c r="F6" s="1290"/>
      <c r="G6" s="1289"/>
      <c r="H6" s="1291" t="s">
        <v>484</v>
      </c>
      <c r="I6" s="1292"/>
      <c r="J6" s="1292"/>
      <c r="K6" s="1293"/>
      <c r="L6" s="1294" t="s">
        <v>485</v>
      </c>
      <c r="M6" s="1296" t="s">
        <v>489</v>
      </c>
    </row>
    <row r="7" spans="1:14" s="26" customFormat="1" ht="27" customHeight="1" thickBot="1" x14ac:dyDescent="0.25">
      <c r="A7" s="1287"/>
      <c r="B7" s="1301"/>
      <c r="C7" s="179" t="s">
        <v>108</v>
      </c>
      <c r="D7" s="180" t="s">
        <v>127</v>
      </c>
      <c r="E7" s="267" t="s">
        <v>109</v>
      </c>
      <c r="F7" s="268" t="s">
        <v>586</v>
      </c>
      <c r="G7" s="269" t="s">
        <v>587</v>
      </c>
      <c r="H7" s="892" t="s">
        <v>125</v>
      </c>
      <c r="I7" s="893" t="s">
        <v>126</v>
      </c>
      <c r="J7" s="894" t="s">
        <v>331</v>
      </c>
      <c r="K7" s="889" t="s">
        <v>85</v>
      </c>
      <c r="L7" s="1295"/>
      <c r="M7" s="1297"/>
    </row>
    <row r="8" spans="1:14" s="9" customFormat="1" ht="20.100000000000001" customHeight="1" thickBot="1" x14ac:dyDescent="0.3">
      <c r="B8" s="10" t="s">
        <v>104</v>
      </c>
      <c r="C8" s="11"/>
      <c r="D8" s="12"/>
      <c r="E8" s="11"/>
      <c r="F8" s="13"/>
      <c r="G8" s="13"/>
      <c r="H8" s="13"/>
      <c r="I8" s="13"/>
      <c r="J8" s="13"/>
      <c r="K8" s="271"/>
      <c r="L8" s="16"/>
      <c r="M8" s="16"/>
    </row>
    <row r="9" spans="1:14" s="19" customFormat="1" ht="30.6" customHeight="1" x14ac:dyDescent="0.25">
      <c r="A9" s="509">
        <v>6172</v>
      </c>
      <c r="B9" s="573" t="s">
        <v>590</v>
      </c>
      <c r="C9" s="453">
        <v>460</v>
      </c>
      <c r="D9" s="454">
        <v>276.76</v>
      </c>
      <c r="E9" s="453">
        <v>500</v>
      </c>
      <c r="F9" s="582">
        <v>500</v>
      </c>
      <c r="G9" s="510">
        <v>46.46</v>
      </c>
      <c r="H9" s="489">
        <v>0</v>
      </c>
      <c r="I9" s="455">
        <v>0</v>
      </c>
      <c r="J9" s="1077">
        <v>400</v>
      </c>
      <c r="K9" s="904">
        <f>SUM(H9:J9)</f>
        <v>400</v>
      </c>
      <c r="L9" s="458">
        <f>K9/E9*100</f>
        <v>80</v>
      </c>
      <c r="M9" s="459">
        <f>K9/F9*100</f>
        <v>80</v>
      </c>
      <c r="N9" s="18"/>
    </row>
    <row r="10" spans="1:14" s="19" customFormat="1" ht="30.6" customHeight="1" x14ac:dyDescent="0.25">
      <c r="A10" s="668">
        <v>6172</v>
      </c>
      <c r="B10" s="716" t="s">
        <v>382</v>
      </c>
      <c r="C10" s="572">
        <v>5860</v>
      </c>
      <c r="D10" s="717">
        <v>7199.5</v>
      </c>
      <c r="E10" s="572">
        <v>6260</v>
      </c>
      <c r="F10" s="718">
        <v>7600.5</v>
      </c>
      <c r="G10" s="719">
        <v>4251.09</v>
      </c>
      <c r="H10" s="1078">
        <v>0</v>
      </c>
      <c r="I10" s="1079">
        <v>0</v>
      </c>
      <c r="J10" s="1080">
        <v>6438</v>
      </c>
      <c r="K10" s="1076">
        <f>SUM(H10:J10)</f>
        <v>6438</v>
      </c>
      <c r="L10" s="476">
        <f t="shared" ref="L10:L11" si="0">K10/E10*100</f>
        <v>102.84345047923323</v>
      </c>
      <c r="M10" s="477">
        <f t="shared" ref="M10:M11" si="1">K10/F10*100</f>
        <v>84.704953621472271</v>
      </c>
      <c r="N10" s="18"/>
    </row>
    <row r="11" spans="1:14" s="19" customFormat="1" ht="20.100000000000001" customHeight="1" thickBot="1" x14ac:dyDescent="0.3">
      <c r="A11" s="576">
        <v>6172</v>
      </c>
      <c r="B11" s="574" t="s">
        <v>111</v>
      </c>
      <c r="C11" s="494">
        <v>45</v>
      </c>
      <c r="D11" s="518">
        <v>0</v>
      </c>
      <c r="E11" s="494">
        <v>50</v>
      </c>
      <c r="F11" s="575">
        <v>50</v>
      </c>
      <c r="G11" s="495">
        <v>0</v>
      </c>
      <c r="H11" s="1081">
        <v>0</v>
      </c>
      <c r="I11" s="1082">
        <v>0</v>
      </c>
      <c r="J11" s="1083">
        <v>40</v>
      </c>
      <c r="K11" s="1065">
        <f>SUM(H11:J11)</f>
        <v>40</v>
      </c>
      <c r="L11" s="476">
        <f t="shared" si="0"/>
        <v>80</v>
      </c>
      <c r="M11" s="477">
        <f t="shared" si="1"/>
        <v>80</v>
      </c>
      <c r="N11" s="18"/>
    </row>
    <row r="12" spans="1:14" s="19" customFormat="1" ht="20.100000000000001" customHeight="1" thickBot="1" x14ac:dyDescent="0.3">
      <c r="A12" s="188"/>
      <c r="B12" s="198" t="s">
        <v>85</v>
      </c>
      <c r="C12" s="183">
        <f t="shared" ref="C12:K12" si="2">SUM(C9:C11)</f>
        <v>6365</v>
      </c>
      <c r="D12" s="184">
        <f t="shared" si="2"/>
        <v>7476.26</v>
      </c>
      <c r="E12" s="183">
        <f t="shared" si="2"/>
        <v>6810</v>
      </c>
      <c r="F12" s="185">
        <f t="shared" si="2"/>
        <v>8150.5</v>
      </c>
      <c r="G12" s="184">
        <f t="shared" si="2"/>
        <v>4297.55</v>
      </c>
      <c r="H12" s="183">
        <f t="shared" si="2"/>
        <v>0</v>
      </c>
      <c r="I12" s="982">
        <f t="shared" si="2"/>
        <v>0</v>
      </c>
      <c r="J12" s="193">
        <f t="shared" si="2"/>
        <v>6878</v>
      </c>
      <c r="K12" s="1067">
        <f t="shared" si="2"/>
        <v>6878</v>
      </c>
      <c r="L12" s="414">
        <f>K12/E12*100</f>
        <v>100.99853157121879</v>
      </c>
      <c r="M12" s="415">
        <f>K12/F12*100</f>
        <v>84.387460891969823</v>
      </c>
      <c r="N12" s="18"/>
    </row>
    <row r="13" spans="1:14" ht="15" customHeight="1" x14ac:dyDescent="0.25">
      <c r="A13" s="20"/>
      <c r="B13" s="20"/>
      <c r="C13" s="170"/>
      <c r="D13" s="169"/>
      <c r="E13" s="170"/>
      <c r="F13" s="172"/>
      <c r="G13" s="172"/>
      <c r="H13" s="172"/>
      <c r="I13" s="172"/>
      <c r="J13" s="172"/>
      <c r="K13" s="172"/>
      <c r="L13" s="24"/>
      <c r="M13" s="25"/>
      <c r="N13" s="17"/>
    </row>
    <row r="14" spans="1:14" x14ac:dyDescent="0.2">
      <c r="C14" s="3"/>
      <c r="E14" s="3"/>
      <c r="K14" s="3"/>
    </row>
  </sheetData>
  <mergeCells count="8">
    <mergeCell ref="A2:M2"/>
    <mergeCell ref="A6:A7"/>
    <mergeCell ref="B6:B7"/>
    <mergeCell ref="C6:D6"/>
    <mergeCell ref="E6:G6"/>
    <mergeCell ref="H6:K6"/>
    <mergeCell ref="L6:L7"/>
    <mergeCell ref="M6:M7"/>
  </mergeCells>
  <pageMargins left="0.70866141732283472" right="0.70866141732283472" top="0.78740157480314965" bottom="0.78740157480314965" header="0.31496062992125984" footer="0.31496062992125984"/>
  <pageSetup paperSize="9" scale="6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W24"/>
  <sheetViews>
    <sheetView workbookViewId="0"/>
  </sheetViews>
  <sheetFormatPr defaultRowHeight="12.75" x14ac:dyDescent="0.2"/>
  <cols>
    <col min="1" max="1" width="7.7109375" style="1" customWidth="1"/>
    <col min="2" max="2" width="6.7109375" style="1" customWidth="1"/>
    <col min="3" max="3" width="41.570312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3" width="10.85546875" style="5" customWidth="1"/>
    <col min="14" max="14" width="9.7109375" style="5" customWidth="1"/>
    <col min="15" max="257" width="9.140625" style="1"/>
    <col min="258" max="258" width="6.7109375" style="1" customWidth="1"/>
    <col min="259" max="259" width="41.5703125" style="1" customWidth="1"/>
    <col min="260" max="267" width="14.7109375" style="1" customWidth="1"/>
    <col min="268" max="268" width="16.7109375" style="1" customWidth="1"/>
    <col min="269" max="269" width="10.85546875" style="1" customWidth="1"/>
    <col min="270" max="270" width="9.7109375" style="1" customWidth="1"/>
    <col min="271" max="513" width="9.140625" style="1"/>
    <col min="514" max="514" width="6.7109375" style="1" customWidth="1"/>
    <col min="515" max="515" width="41.5703125" style="1" customWidth="1"/>
    <col min="516" max="523" width="14.7109375" style="1" customWidth="1"/>
    <col min="524" max="524" width="16.7109375" style="1" customWidth="1"/>
    <col min="525" max="525" width="10.85546875" style="1" customWidth="1"/>
    <col min="526" max="526" width="9.7109375" style="1" customWidth="1"/>
    <col min="527" max="769" width="9.140625" style="1"/>
    <col min="770" max="770" width="6.7109375" style="1" customWidth="1"/>
    <col min="771" max="771" width="41.5703125" style="1" customWidth="1"/>
    <col min="772" max="779" width="14.7109375" style="1" customWidth="1"/>
    <col min="780" max="780" width="16.7109375" style="1" customWidth="1"/>
    <col min="781" max="781" width="10.85546875" style="1" customWidth="1"/>
    <col min="782" max="782" width="9.7109375" style="1" customWidth="1"/>
    <col min="783" max="1025" width="9.140625" style="1"/>
    <col min="1026" max="1026" width="6.7109375" style="1" customWidth="1"/>
    <col min="1027" max="1027" width="41.5703125" style="1" customWidth="1"/>
    <col min="1028" max="1035" width="14.7109375" style="1" customWidth="1"/>
    <col min="1036" max="1036" width="16.7109375" style="1" customWidth="1"/>
    <col min="1037" max="1037" width="10.85546875" style="1" customWidth="1"/>
    <col min="1038" max="1038" width="9.7109375" style="1" customWidth="1"/>
    <col min="1039" max="1281" width="9.140625" style="1"/>
    <col min="1282" max="1282" width="6.7109375" style="1" customWidth="1"/>
    <col min="1283" max="1283" width="41.5703125" style="1" customWidth="1"/>
    <col min="1284" max="1291" width="14.7109375" style="1" customWidth="1"/>
    <col min="1292" max="1292" width="16.7109375" style="1" customWidth="1"/>
    <col min="1293" max="1293" width="10.85546875" style="1" customWidth="1"/>
    <col min="1294" max="1294" width="9.7109375" style="1" customWidth="1"/>
    <col min="1295" max="1537" width="9.140625" style="1"/>
    <col min="1538" max="1538" width="6.7109375" style="1" customWidth="1"/>
    <col min="1539" max="1539" width="41.5703125" style="1" customWidth="1"/>
    <col min="1540" max="1547" width="14.7109375" style="1" customWidth="1"/>
    <col min="1548" max="1548" width="16.7109375" style="1" customWidth="1"/>
    <col min="1549" max="1549" width="10.85546875" style="1" customWidth="1"/>
    <col min="1550" max="1550" width="9.7109375" style="1" customWidth="1"/>
    <col min="1551" max="1793" width="9.140625" style="1"/>
    <col min="1794" max="1794" width="6.7109375" style="1" customWidth="1"/>
    <col min="1795" max="1795" width="41.5703125" style="1" customWidth="1"/>
    <col min="1796" max="1803" width="14.7109375" style="1" customWidth="1"/>
    <col min="1804" max="1804" width="16.7109375" style="1" customWidth="1"/>
    <col min="1805" max="1805" width="10.85546875" style="1" customWidth="1"/>
    <col min="1806" max="1806" width="9.7109375" style="1" customWidth="1"/>
    <col min="1807" max="2049" width="9.140625" style="1"/>
    <col min="2050" max="2050" width="6.7109375" style="1" customWidth="1"/>
    <col min="2051" max="2051" width="41.5703125" style="1" customWidth="1"/>
    <col min="2052" max="2059" width="14.7109375" style="1" customWidth="1"/>
    <col min="2060" max="2060" width="16.7109375" style="1" customWidth="1"/>
    <col min="2061" max="2061" width="10.85546875" style="1" customWidth="1"/>
    <col min="2062" max="2062" width="9.7109375" style="1" customWidth="1"/>
    <col min="2063" max="2305" width="9.140625" style="1"/>
    <col min="2306" max="2306" width="6.7109375" style="1" customWidth="1"/>
    <col min="2307" max="2307" width="41.5703125" style="1" customWidth="1"/>
    <col min="2308" max="2315" width="14.7109375" style="1" customWidth="1"/>
    <col min="2316" max="2316" width="16.7109375" style="1" customWidth="1"/>
    <col min="2317" max="2317" width="10.85546875" style="1" customWidth="1"/>
    <col min="2318" max="2318" width="9.7109375" style="1" customWidth="1"/>
    <col min="2319" max="2561" width="9.140625" style="1"/>
    <col min="2562" max="2562" width="6.7109375" style="1" customWidth="1"/>
    <col min="2563" max="2563" width="41.5703125" style="1" customWidth="1"/>
    <col min="2564" max="2571" width="14.7109375" style="1" customWidth="1"/>
    <col min="2572" max="2572" width="16.7109375" style="1" customWidth="1"/>
    <col min="2573" max="2573" width="10.85546875" style="1" customWidth="1"/>
    <col min="2574" max="2574" width="9.7109375" style="1" customWidth="1"/>
    <col min="2575" max="2817" width="9.140625" style="1"/>
    <col min="2818" max="2818" width="6.7109375" style="1" customWidth="1"/>
    <col min="2819" max="2819" width="41.5703125" style="1" customWidth="1"/>
    <col min="2820" max="2827" width="14.7109375" style="1" customWidth="1"/>
    <col min="2828" max="2828" width="16.7109375" style="1" customWidth="1"/>
    <col min="2829" max="2829" width="10.85546875" style="1" customWidth="1"/>
    <col min="2830" max="2830" width="9.7109375" style="1" customWidth="1"/>
    <col min="2831" max="3073" width="9.140625" style="1"/>
    <col min="3074" max="3074" width="6.7109375" style="1" customWidth="1"/>
    <col min="3075" max="3075" width="41.5703125" style="1" customWidth="1"/>
    <col min="3076" max="3083" width="14.7109375" style="1" customWidth="1"/>
    <col min="3084" max="3084" width="16.7109375" style="1" customWidth="1"/>
    <col min="3085" max="3085" width="10.85546875" style="1" customWidth="1"/>
    <col min="3086" max="3086" width="9.7109375" style="1" customWidth="1"/>
    <col min="3087" max="3329" width="9.140625" style="1"/>
    <col min="3330" max="3330" width="6.7109375" style="1" customWidth="1"/>
    <col min="3331" max="3331" width="41.5703125" style="1" customWidth="1"/>
    <col min="3332" max="3339" width="14.7109375" style="1" customWidth="1"/>
    <col min="3340" max="3340" width="16.7109375" style="1" customWidth="1"/>
    <col min="3341" max="3341" width="10.85546875" style="1" customWidth="1"/>
    <col min="3342" max="3342" width="9.7109375" style="1" customWidth="1"/>
    <col min="3343" max="3585" width="9.140625" style="1"/>
    <col min="3586" max="3586" width="6.7109375" style="1" customWidth="1"/>
    <col min="3587" max="3587" width="41.5703125" style="1" customWidth="1"/>
    <col min="3588" max="3595" width="14.7109375" style="1" customWidth="1"/>
    <col min="3596" max="3596" width="16.7109375" style="1" customWidth="1"/>
    <col min="3597" max="3597" width="10.85546875" style="1" customWidth="1"/>
    <col min="3598" max="3598" width="9.7109375" style="1" customWidth="1"/>
    <col min="3599" max="3841" width="9.140625" style="1"/>
    <col min="3842" max="3842" width="6.7109375" style="1" customWidth="1"/>
    <col min="3843" max="3843" width="41.5703125" style="1" customWidth="1"/>
    <col min="3844" max="3851" width="14.7109375" style="1" customWidth="1"/>
    <col min="3852" max="3852" width="16.7109375" style="1" customWidth="1"/>
    <col min="3853" max="3853" width="10.85546875" style="1" customWidth="1"/>
    <col min="3854" max="3854" width="9.7109375" style="1" customWidth="1"/>
    <col min="3855" max="4097" width="9.140625" style="1"/>
    <col min="4098" max="4098" width="6.7109375" style="1" customWidth="1"/>
    <col min="4099" max="4099" width="41.5703125" style="1" customWidth="1"/>
    <col min="4100" max="4107" width="14.7109375" style="1" customWidth="1"/>
    <col min="4108" max="4108" width="16.7109375" style="1" customWidth="1"/>
    <col min="4109" max="4109" width="10.85546875" style="1" customWidth="1"/>
    <col min="4110" max="4110" width="9.7109375" style="1" customWidth="1"/>
    <col min="4111" max="4353" width="9.140625" style="1"/>
    <col min="4354" max="4354" width="6.7109375" style="1" customWidth="1"/>
    <col min="4355" max="4355" width="41.5703125" style="1" customWidth="1"/>
    <col min="4356" max="4363" width="14.7109375" style="1" customWidth="1"/>
    <col min="4364" max="4364" width="16.7109375" style="1" customWidth="1"/>
    <col min="4365" max="4365" width="10.85546875" style="1" customWidth="1"/>
    <col min="4366" max="4366" width="9.7109375" style="1" customWidth="1"/>
    <col min="4367" max="4609" width="9.140625" style="1"/>
    <col min="4610" max="4610" width="6.7109375" style="1" customWidth="1"/>
    <col min="4611" max="4611" width="41.5703125" style="1" customWidth="1"/>
    <col min="4612" max="4619" width="14.7109375" style="1" customWidth="1"/>
    <col min="4620" max="4620" width="16.7109375" style="1" customWidth="1"/>
    <col min="4621" max="4621" width="10.85546875" style="1" customWidth="1"/>
    <col min="4622" max="4622" width="9.7109375" style="1" customWidth="1"/>
    <col min="4623" max="4865" width="9.140625" style="1"/>
    <col min="4866" max="4866" width="6.7109375" style="1" customWidth="1"/>
    <col min="4867" max="4867" width="41.5703125" style="1" customWidth="1"/>
    <col min="4868" max="4875" width="14.7109375" style="1" customWidth="1"/>
    <col min="4876" max="4876" width="16.7109375" style="1" customWidth="1"/>
    <col min="4877" max="4877" width="10.85546875" style="1" customWidth="1"/>
    <col min="4878" max="4878" width="9.7109375" style="1" customWidth="1"/>
    <col min="4879" max="5121" width="9.140625" style="1"/>
    <col min="5122" max="5122" width="6.7109375" style="1" customWidth="1"/>
    <col min="5123" max="5123" width="41.5703125" style="1" customWidth="1"/>
    <col min="5124" max="5131" width="14.7109375" style="1" customWidth="1"/>
    <col min="5132" max="5132" width="16.7109375" style="1" customWidth="1"/>
    <col min="5133" max="5133" width="10.85546875" style="1" customWidth="1"/>
    <col min="5134" max="5134" width="9.7109375" style="1" customWidth="1"/>
    <col min="5135" max="5377" width="9.140625" style="1"/>
    <col min="5378" max="5378" width="6.7109375" style="1" customWidth="1"/>
    <col min="5379" max="5379" width="41.5703125" style="1" customWidth="1"/>
    <col min="5380" max="5387" width="14.7109375" style="1" customWidth="1"/>
    <col min="5388" max="5388" width="16.7109375" style="1" customWidth="1"/>
    <col min="5389" max="5389" width="10.85546875" style="1" customWidth="1"/>
    <col min="5390" max="5390" width="9.7109375" style="1" customWidth="1"/>
    <col min="5391" max="5633" width="9.140625" style="1"/>
    <col min="5634" max="5634" width="6.7109375" style="1" customWidth="1"/>
    <col min="5635" max="5635" width="41.5703125" style="1" customWidth="1"/>
    <col min="5636" max="5643" width="14.7109375" style="1" customWidth="1"/>
    <col min="5644" max="5644" width="16.7109375" style="1" customWidth="1"/>
    <col min="5645" max="5645" width="10.85546875" style="1" customWidth="1"/>
    <col min="5646" max="5646" width="9.7109375" style="1" customWidth="1"/>
    <col min="5647" max="5889" width="9.140625" style="1"/>
    <col min="5890" max="5890" width="6.7109375" style="1" customWidth="1"/>
    <col min="5891" max="5891" width="41.5703125" style="1" customWidth="1"/>
    <col min="5892" max="5899" width="14.7109375" style="1" customWidth="1"/>
    <col min="5900" max="5900" width="16.7109375" style="1" customWidth="1"/>
    <col min="5901" max="5901" width="10.85546875" style="1" customWidth="1"/>
    <col min="5902" max="5902" width="9.7109375" style="1" customWidth="1"/>
    <col min="5903" max="6145" width="9.140625" style="1"/>
    <col min="6146" max="6146" width="6.7109375" style="1" customWidth="1"/>
    <col min="6147" max="6147" width="41.5703125" style="1" customWidth="1"/>
    <col min="6148" max="6155" width="14.7109375" style="1" customWidth="1"/>
    <col min="6156" max="6156" width="16.7109375" style="1" customWidth="1"/>
    <col min="6157" max="6157" width="10.85546875" style="1" customWidth="1"/>
    <col min="6158" max="6158" width="9.7109375" style="1" customWidth="1"/>
    <col min="6159" max="6401" width="9.140625" style="1"/>
    <col min="6402" max="6402" width="6.7109375" style="1" customWidth="1"/>
    <col min="6403" max="6403" width="41.5703125" style="1" customWidth="1"/>
    <col min="6404" max="6411" width="14.7109375" style="1" customWidth="1"/>
    <col min="6412" max="6412" width="16.7109375" style="1" customWidth="1"/>
    <col min="6413" max="6413" width="10.85546875" style="1" customWidth="1"/>
    <col min="6414" max="6414" width="9.7109375" style="1" customWidth="1"/>
    <col min="6415" max="6657" width="9.140625" style="1"/>
    <col min="6658" max="6658" width="6.7109375" style="1" customWidth="1"/>
    <col min="6659" max="6659" width="41.5703125" style="1" customWidth="1"/>
    <col min="6660" max="6667" width="14.7109375" style="1" customWidth="1"/>
    <col min="6668" max="6668" width="16.7109375" style="1" customWidth="1"/>
    <col min="6669" max="6669" width="10.85546875" style="1" customWidth="1"/>
    <col min="6670" max="6670" width="9.7109375" style="1" customWidth="1"/>
    <col min="6671" max="6913" width="9.140625" style="1"/>
    <col min="6914" max="6914" width="6.7109375" style="1" customWidth="1"/>
    <col min="6915" max="6915" width="41.5703125" style="1" customWidth="1"/>
    <col min="6916" max="6923" width="14.7109375" style="1" customWidth="1"/>
    <col min="6924" max="6924" width="16.7109375" style="1" customWidth="1"/>
    <col min="6925" max="6925" width="10.85546875" style="1" customWidth="1"/>
    <col min="6926" max="6926" width="9.7109375" style="1" customWidth="1"/>
    <col min="6927" max="7169" width="9.140625" style="1"/>
    <col min="7170" max="7170" width="6.7109375" style="1" customWidth="1"/>
    <col min="7171" max="7171" width="41.5703125" style="1" customWidth="1"/>
    <col min="7172" max="7179" width="14.7109375" style="1" customWidth="1"/>
    <col min="7180" max="7180" width="16.7109375" style="1" customWidth="1"/>
    <col min="7181" max="7181" width="10.85546875" style="1" customWidth="1"/>
    <col min="7182" max="7182" width="9.7109375" style="1" customWidth="1"/>
    <col min="7183" max="7425" width="9.140625" style="1"/>
    <col min="7426" max="7426" width="6.7109375" style="1" customWidth="1"/>
    <col min="7427" max="7427" width="41.5703125" style="1" customWidth="1"/>
    <col min="7428" max="7435" width="14.7109375" style="1" customWidth="1"/>
    <col min="7436" max="7436" width="16.7109375" style="1" customWidth="1"/>
    <col min="7437" max="7437" width="10.85546875" style="1" customWidth="1"/>
    <col min="7438" max="7438" width="9.7109375" style="1" customWidth="1"/>
    <col min="7439" max="7681" width="9.140625" style="1"/>
    <col min="7682" max="7682" width="6.7109375" style="1" customWidth="1"/>
    <col min="7683" max="7683" width="41.5703125" style="1" customWidth="1"/>
    <col min="7684" max="7691" width="14.7109375" style="1" customWidth="1"/>
    <col min="7692" max="7692" width="16.7109375" style="1" customWidth="1"/>
    <col min="7693" max="7693" width="10.85546875" style="1" customWidth="1"/>
    <col min="7694" max="7694" width="9.7109375" style="1" customWidth="1"/>
    <col min="7695" max="7937" width="9.140625" style="1"/>
    <col min="7938" max="7938" width="6.7109375" style="1" customWidth="1"/>
    <col min="7939" max="7939" width="41.5703125" style="1" customWidth="1"/>
    <col min="7940" max="7947" width="14.7109375" style="1" customWidth="1"/>
    <col min="7948" max="7948" width="16.7109375" style="1" customWidth="1"/>
    <col min="7949" max="7949" width="10.85546875" style="1" customWidth="1"/>
    <col min="7950" max="7950" width="9.7109375" style="1" customWidth="1"/>
    <col min="7951" max="8193" width="9.140625" style="1"/>
    <col min="8194" max="8194" width="6.7109375" style="1" customWidth="1"/>
    <col min="8195" max="8195" width="41.5703125" style="1" customWidth="1"/>
    <col min="8196" max="8203" width="14.7109375" style="1" customWidth="1"/>
    <col min="8204" max="8204" width="16.7109375" style="1" customWidth="1"/>
    <col min="8205" max="8205" width="10.85546875" style="1" customWidth="1"/>
    <col min="8206" max="8206" width="9.7109375" style="1" customWidth="1"/>
    <col min="8207" max="8449" width="9.140625" style="1"/>
    <col min="8450" max="8450" width="6.7109375" style="1" customWidth="1"/>
    <col min="8451" max="8451" width="41.5703125" style="1" customWidth="1"/>
    <col min="8452" max="8459" width="14.7109375" style="1" customWidth="1"/>
    <col min="8460" max="8460" width="16.7109375" style="1" customWidth="1"/>
    <col min="8461" max="8461" width="10.85546875" style="1" customWidth="1"/>
    <col min="8462" max="8462" width="9.7109375" style="1" customWidth="1"/>
    <col min="8463" max="8705" width="9.140625" style="1"/>
    <col min="8706" max="8706" width="6.7109375" style="1" customWidth="1"/>
    <col min="8707" max="8707" width="41.5703125" style="1" customWidth="1"/>
    <col min="8708" max="8715" width="14.7109375" style="1" customWidth="1"/>
    <col min="8716" max="8716" width="16.7109375" style="1" customWidth="1"/>
    <col min="8717" max="8717" width="10.85546875" style="1" customWidth="1"/>
    <col min="8718" max="8718" width="9.7109375" style="1" customWidth="1"/>
    <col min="8719" max="8961" width="9.140625" style="1"/>
    <col min="8962" max="8962" width="6.7109375" style="1" customWidth="1"/>
    <col min="8963" max="8963" width="41.5703125" style="1" customWidth="1"/>
    <col min="8964" max="8971" width="14.7109375" style="1" customWidth="1"/>
    <col min="8972" max="8972" width="16.7109375" style="1" customWidth="1"/>
    <col min="8973" max="8973" width="10.85546875" style="1" customWidth="1"/>
    <col min="8974" max="8974" width="9.7109375" style="1" customWidth="1"/>
    <col min="8975" max="9217" width="9.140625" style="1"/>
    <col min="9218" max="9218" width="6.7109375" style="1" customWidth="1"/>
    <col min="9219" max="9219" width="41.5703125" style="1" customWidth="1"/>
    <col min="9220" max="9227" width="14.7109375" style="1" customWidth="1"/>
    <col min="9228" max="9228" width="16.7109375" style="1" customWidth="1"/>
    <col min="9229" max="9229" width="10.85546875" style="1" customWidth="1"/>
    <col min="9230" max="9230" width="9.7109375" style="1" customWidth="1"/>
    <col min="9231" max="9473" width="9.140625" style="1"/>
    <col min="9474" max="9474" width="6.7109375" style="1" customWidth="1"/>
    <col min="9475" max="9475" width="41.5703125" style="1" customWidth="1"/>
    <col min="9476" max="9483" width="14.7109375" style="1" customWidth="1"/>
    <col min="9484" max="9484" width="16.7109375" style="1" customWidth="1"/>
    <col min="9485" max="9485" width="10.85546875" style="1" customWidth="1"/>
    <col min="9486" max="9486" width="9.7109375" style="1" customWidth="1"/>
    <col min="9487" max="9729" width="9.140625" style="1"/>
    <col min="9730" max="9730" width="6.7109375" style="1" customWidth="1"/>
    <col min="9731" max="9731" width="41.5703125" style="1" customWidth="1"/>
    <col min="9732" max="9739" width="14.7109375" style="1" customWidth="1"/>
    <col min="9740" max="9740" width="16.7109375" style="1" customWidth="1"/>
    <col min="9741" max="9741" width="10.85546875" style="1" customWidth="1"/>
    <col min="9742" max="9742" width="9.7109375" style="1" customWidth="1"/>
    <col min="9743" max="9985" width="9.140625" style="1"/>
    <col min="9986" max="9986" width="6.7109375" style="1" customWidth="1"/>
    <col min="9987" max="9987" width="41.5703125" style="1" customWidth="1"/>
    <col min="9988" max="9995" width="14.7109375" style="1" customWidth="1"/>
    <col min="9996" max="9996" width="16.7109375" style="1" customWidth="1"/>
    <col min="9997" max="9997" width="10.85546875" style="1" customWidth="1"/>
    <col min="9998" max="9998" width="9.7109375" style="1" customWidth="1"/>
    <col min="9999" max="10241" width="9.140625" style="1"/>
    <col min="10242" max="10242" width="6.7109375" style="1" customWidth="1"/>
    <col min="10243" max="10243" width="41.5703125" style="1" customWidth="1"/>
    <col min="10244" max="10251" width="14.7109375" style="1" customWidth="1"/>
    <col min="10252" max="10252" width="16.7109375" style="1" customWidth="1"/>
    <col min="10253" max="10253" width="10.85546875" style="1" customWidth="1"/>
    <col min="10254" max="10254" width="9.7109375" style="1" customWidth="1"/>
    <col min="10255" max="10497" width="9.140625" style="1"/>
    <col min="10498" max="10498" width="6.7109375" style="1" customWidth="1"/>
    <col min="10499" max="10499" width="41.5703125" style="1" customWidth="1"/>
    <col min="10500" max="10507" width="14.7109375" style="1" customWidth="1"/>
    <col min="10508" max="10508" width="16.7109375" style="1" customWidth="1"/>
    <col min="10509" max="10509" width="10.85546875" style="1" customWidth="1"/>
    <col min="10510" max="10510" width="9.7109375" style="1" customWidth="1"/>
    <col min="10511" max="10753" width="9.140625" style="1"/>
    <col min="10754" max="10754" width="6.7109375" style="1" customWidth="1"/>
    <col min="10755" max="10755" width="41.5703125" style="1" customWidth="1"/>
    <col min="10756" max="10763" width="14.7109375" style="1" customWidth="1"/>
    <col min="10764" max="10764" width="16.7109375" style="1" customWidth="1"/>
    <col min="10765" max="10765" width="10.85546875" style="1" customWidth="1"/>
    <col min="10766" max="10766" width="9.7109375" style="1" customWidth="1"/>
    <col min="10767" max="11009" width="9.140625" style="1"/>
    <col min="11010" max="11010" width="6.7109375" style="1" customWidth="1"/>
    <col min="11011" max="11011" width="41.5703125" style="1" customWidth="1"/>
    <col min="11012" max="11019" width="14.7109375" style="1" customWidth="1"/>
    <col min="11020" max="11020" width="16.7109375" style="1" customWidth="1"/>
    <col min="11021" max="11021" width="10.85546875" style="1" customWidth="1"/>
    <col min="11022" max="11022" width="9.7109375" style="1" customWidth="1"/>
    <col min="11023" max="11265" width="9.140625" style="1"/>
    <col min="11266" max="11266" width="6.7109375" style="1" customWidth="1"/>
    <col min="11267" max="11267" width="41.5703125" style="1" customWidth="1"/>
    <col min="11268" max="11275" width="14.7109375" style="1" customWidth="1"/>
    <col min="11276" max="11276" width="16.7109375" style="1" customWidth="1"/>
    <col min="11277" max="11277" width="10.85546875" style="1" customWidth="1"/>
    <col min="11278" max="11278" width="9.7109375" style="1" customWidth="1"/>
    <col min="11279" max="11521" width="9.140625" style="1"/>
    <col min="11522" max="11522" width="6.7109375" style="1" customWidth="1"/>
    <col min="11523" max="11523" width="41.5703125" style="1" customWidth="1"/>
    <col min="11524" max="11531" width="14.7109375" style="1" customWidth="1"/>
    <col min="11532" max="11532" width="16.7109375" style="1" customWidth="1"/>
    <col min="11533" max="11533" width="10.85546875" style="1" customWidth="1"/>
    <col min="11534" max="11534" width="9.7109375" style="1" customWidth="1"/>
    <col min="11535" max="11777" width="9.140625" style="1"/>
    <col min="11778" max="11778" width="6.7109375" style="1" customWidth="1"/>
    <col min="11779" max="11779" width="41.5703125" style="1" customWidth="1"/>
    <col min="11780" max="11787" width="14.7109375" style="1" customWidth="1"/>
    <col min="11788" max="11788" width="16.7109375" style="1" customWidth="1"/>
    <col min="11789" max="11789" width="10.85546875" style="1" customWidth="1"/>
    <col min="11790" max="11790" width="9.7109375" style="1" customWidth="1"/>
    <col min="11791" max="12033" width="9.140625" style="1"/>
    <col min="12034" max="12034" width="6.7109375" style="1" customWidth="1"/>
    <col min="12035" max="12035" width="41.5703125" style="1" customWidth="1"/>
    <col min="12036" max="12043" width="14.7109375" style="1" customWidth="1"/>
    <col min="12044" max="12044" width="16.7109375" style="1" customWidth="1"/>
    <col min="12045" max="12045" width="10.85546875" style="1" customWidth="1"/>
    <col min="12046" max="12046" width="9.7109375" style="1" customWidth="1"/>
    <col min="12047" max="12289" width="9.140625" style="1"/>
    <col min="12290" max="12290" width="6.7109375" style="1" customWidth="1"/>
    <col min="12291" max="12291" width="41.5703125" style="1" customWidth="1"/>
    <col min="12292" max="12299" width="14.7109375" style="1" customWidth="1"/>
    <col min="12300" max="12300" width="16.7109375" style="1" customWidth="1"/>
    <col min="12301" max="12301" width="10.85546875" style="1" customWidth="1"/>
    <col min="12302" max="12302" width="9.7109375" style="1" customWidth="1"/>
    <col min="12303" max="12545" width="9.140625" style="1"/>
    <col min="12546" max="12546" width="6.7109375" style="1" customWidth="1"/>
    <col min="12547" max="12547" width="41.5703125" style="1" customWidth="1"/>
    <col min="12548" max="12555" width="14.7109375" style="1" customWidth="1"/>
    <col min="12556" max="12556" width="16.7109375" style="1" customWidth="1"/>
    <col min="12557" max="12557" width="10.85546875" style="1" customWidth="1"/>
    <col min="12558" max="12558" width="9.7109375" style="1" customWidth="1"/>
    <col min="12559" max="12801" width="9.140625" style="1"/>
    <col min="12802" max="12802" width="6.7109375" style="1" customWidth="1"/>
    <col min="12803" max="12803" width="41.5703125" style="1" customWidth="1"/>
    <col min="12804" max="12811" width="14.7109375" style="1" customWidth="1"/>
    <col min="12812" max="12812" width="16.7109375" style="1" customWidth="1"/>
    <col min="12813" max="12813" width="10.85546875" style="1" customWidth="1"/>
    <col min="12814" max="12814" width="9.7109375" style="1" customWidth="1"/>
    <col min="12815" max="13057" width="9.140625" style="1"/>
    <col min="13058" max="13058" width="6.7109375" style="1" customWidth="1"/>
    <col min="13059" max="13059" width="41.5703125" style="1" customWidth="1"/>
    <col min="13060" max="13067" width="14.7109375" style="1" customWidth="1"/>
    <col min="13068" max="13068" width="16.7109375" style="1" customWidth="1"/>
    <col min="13069" max="13069" width="10.85546875" style="1" customWidth="1"/>
    <col min="13070" max="13070" width="9.7109375" style="1" customWidth="1"/>
    <col min="13071" max="13313" width="9.140625" style="1"/>
    <col min="13314" max="13314" width="6.7109375" style="1" customWidth="1"/>
    <col min="13315" max="13315" width="41.5703125" style="1" customWidth="1"/>
    <col min="13316" max="13323" width="14.7109375" style="1" customWidth="1"/>
    <col min="13324" max="13324" width="16.7109375" style="1" customWidth="1"/>
    <col min="13325" max="13325" width="10.85546875" style="1" customWidth="1"/>
    <col min="13326" max="13326" width="9.7109375" style="1" customWidth="1"/>
    <col min="13327" max="13569" width="9.140625" style="1"/>
    <col min="13570" max="13570" width="6.7109375" style="1" customWidth="1"/>
    <col min="13571" max="13571" width="41.5703125" style="1" customWidth="1"/>
    <col min="13572" max="13579" width="14.7109375" style="1" customWidth="1"/>
    <col min="13580" max="13580" width="16.7109375" style="1" customWidth="1"/>
    <col min="13581" max="13581" width="10.85546875" style="1" customWidth="1"/>
    <col min="13582" max="13582" width="9.7109375" style="1" customWidth="1"/>
    <col min="13583" max="13825" width="9.140625" style="1"/>
    <col min="13826" max="13826" width="6.7109375" style="1" customWidth="1"/>
    <col min="13827" max="13827" width="41.5703125" style="1" customWidth="1"/>
    <col min="13828" max="13835" width="14.7109375" style="1" customWidth="1"/>
    <col min="13836" max="13836" width="16.7109375" style="1" customWidth="1"/>
    <col min="13837" max="13837" width="10.85546875" style="1" customWidth="1"/>
    <col min="13838" max="13838" width="9.7109375" style="1" customWidth="1"/>
    <col min="13839" max="14081" width="9.140625" style="1"/>
    <col min="14082" max="14082" width="6.7109375" style="1" customWidth="1"/>
    <col min="14083" max="14083" width="41.5703125" style="1" customWidth="1"/>
    <col min="14084" max="14091" width="14.7109375" style="1" customWidth="1"/>
    <col min="14092" max="14092" width="16.7109375" style="1" customWidth="1"/>
    <col min="14093" max="14093" width="10.85546875" style="1" customWidth="1"/>
    <col min="14094" max="14094" width="9.7109375" style="1" customWidth="1"/>
    <col min="14095" max="14337" width="9.140625" style="1"/>
    <col min="14338" max="14338" width="6.7109375" style="1" customWidth="1"/>
    <col min="14339" max="14339" width="41.5703125" style="1" customWidth="1"/>
    <col min="14340" max="14347" width="14.7109375" style="1" customWidth="1"/>
    <col min="14348" max="14348" width="16.7109375" style="1" customWidth="1"/>
    <col min="14349" max="14349" width="10.85546875" style="1" customWidth="1"/>
    <col min="14350" max="14350" width="9.7109375" style="1" customWidth="1"/>
    <col min="14351" max="14593" width="9.140625" style="1"/>
    <col min="14594" max="14594" width="6.7109375" style="1" customWidth="1"/>
    <col min="14595" max="14595" width="41.5703125" style="1" customWidth="1"/>
    <col min="14596" max="14603" width="14.7109375" style="1" customWidth="1"/>
    <col min="14604" max="14604" width="16.7109375" style="1" customWidth="1"/>
    <col min="14605" max="14605" width="10.85546875" style="1" customWidth="1"/>
    <col min="14606" max="14606" width="9.7109375" style="1" customWidth="1"/>
    <col min="14607" max="14849" width="9.140625" style="1"/>
    <col min="14850" max="14850" width="6.7109375" style="1" customWidth="1"/>
    <col min="14851" max="14851" width="41.5703125" style="1" customWidth="1"/>
    <col min="14852" max="14859" width="14.7109375" style="1" customWidth="1"/>
    <col min="14860" max="14860" width="16.7109375" style="1" customWidth="1"/>
    <col min="14861" max="14861" width="10.85546875" style="1" customWidth="1"/>
    <col min="14862" max="14862" width="9.7109375" style="1" customWidth="1"/>
    <col min="14863" max="15105" width="9.140625" style="1"/>
    <col min="15106" max="15106" width="6.7109375" style="1" customWidth="1"/>
    <col min="15107" max="15107" width="41.5703125" style="1" customWidth="1"/>
    <col min="15108" max="15115" width="14.7109375" style="1" customWidth="1"/>
    <col min="15116" max="15116" width="16.7109375" style="1" customWidth="1"/>
    <col min="15117" max="15117" width="10.85546875" style="1" customWidth="1"/>
    <col min="15118" max="15118" width="9.7109375" style="1" customWidth="1"/>
    <col min="15119" max="15361" width="9.140625" style="1"/>
    <col min="15362" max="15362" width="6.7109375" style="1" customWidth="1"/>
    <col min="15363" max="15363" width="41.5703125" style="1" customWidth="1"/>
    <col min="15364" max="15371" width="14.7109375" style="1" customWidth="1"/>
    <col min="15372" max="15372" width="16.7109375" style="1" customWidth="1"/>
    <col min="15373" max="15373" width="10.85546875" style="1" customWidth="1"/>
    <col min="15374" max="15374" width="9.7109375" style="1" customWidth="1"/>
    <col min="15375" max="15617" width="9.140625" style="1"/>
    <col min="15618" max="15618" width="6.7109375" style="1" customWidth="1"/>
    <col min="15619" max="15619" width="41.5703125" style="1" customWidth="1"/>
    <col min="15620" max="15627" width="14.7109375" style="1" customWidth="1"/>
    <col min="15628" max="15628" width="16.7109375" style="1" customWidth="1"/>
    <col min="15629" max="15629" width="10.85546875" style="1" customWidth="1"/>
    <col min="15630" max="15630" width="9.7109375" style="1" customWidth="1"/>
    <col min="15631" max="15873" width="9.140625" style="1"/>
    <col min="15874" max="15874" width="6.7109375" style="1" customWidth="1"/>
    <col min="15875" max="15875" width="41.5703125" style="1" customWidth="1"/>
    <col min="15876" max="15883" width="14.7109375" style="1" customWidth="1"/>
    <col min="15884" max="15884" width="16.7109375" style="1" customWidth="1"/>
    <col min="15885" max="15885" width="10.85546875" style="1" customWidth="1"/>
    <col min="15886" max="15886" width="9.7109375" style="1" customWidth="1"/>
    <col min="15887" max="16129" width="9.140625" style="1"/>
    <col min="16130" max="16130" width="6.7109375" style="1" customWidth="1"/>
    <col min="16131" max="16131" width="41.5703125" style="1" customWidth="1"/>
    <col min="16132" max="16139" width="14.7109375" style="1" customWidth="1"/>
    <col min="16140" max="16140" width="16.7109375" style="1" customWidth="1"/>
    <col min="16141" max="16141" width="10.85546875" style="1" customWidth="1"/>
    <col min="16142" max="16142" width="9.7109375" style="1" customWidth="1"/>
    <col min="16143" max="16384" width="9.140625" style="1"/>
  </cols>
  <sheetData>
    <row r="1" spans="1:23" ht="15" customHeight="1" x14ac:dyDescent="0.25">
      <c r="N1" s="6"/>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row r="4" spans="1:23" ht="20.100000000000001" customHeight="1" x14ac:dyDescent="0.3">
      <c r="A4" s="7" t="s">
        <v>200</v>
      </c>
      <c r="M4" s="8"/>
    </row>
    <row r="5" spans="1:23" ht="15" customHeight="1" thickBot="1" x14ac:dyDescent="0.35">
      <c r="A5" s="7"/>
      <c r="N5" s="8" t="s">
        <v>0</v>
      </c>
    </row>
    <row r="6" spans="1:23"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23" s="62" customFormat="1" ht="27.75"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23" s="9" customFormat="1" ht="20.100000000000001" customHeight="1" thickBot="1" x14ac:dyDescent="0.3">
      <c r="B8" s="10" t="s">
        <v>104</v>
      </c>
      <c r="C8" s="10"/>
      <c r="D8" s="11"/>
      <c r="E8" s="12"/>
      <c r="F8" s="11"/>
      <c r="G8" s="13"/>
      <c r="H8" s="13"/>
      <c r="I8" s="13"/>
      <c r="J8" s="13"/>
      <c r="K8" s="13"/>
      <c r="L8" s="271"/>
      <c r="M8" s="16"/>
      <c r="N8" s="16"/>
    </row>
    <row r="9" spans="1:23" s="527" customFormat="1" ht="20.100000000000001" customHeight="1" x14ac:dyDescent="0.2">
      <c r="A9" s="509">
        <v>2143</v>
      </c>
      <c r="B9" s="1304" t="s">
        <v>563</v>
      </c>
      <c r="C9" s="1305"/>
      <c r="D9" s="453">
        <v>0</v>
      </c>
      <c r="E9" s="454">
        <v>0</v>
      </c>
      <c r="F9" s="515">
        <v>0</v>
      </c>
      <c r="G9" s="456">
        <v>1000</v>
      </c>
      <c r="H9" s="578">
        <v>1000</v>
      </c>
      <c r="I9" s="453">
        <v>0</v>
      </c>
      <c r="J9" s="540">
        <v>0</v>
      </c>
      <c r="K9" s="1063">
        <v>0</v>
      </c>
      <c r="L9" s="904">
        <f>SUM(I9:K9)</f>
        <v>0</v>
      </c>
      <c r="M9" s="458" t="s">
        <v>60</v>
      </c>
      <c r="N9" s="459">
        <f>L9/G9*100</f>
        <v>0</v>
      </c>
      <c r="O9" s="532"/>
      <c r="P9" s="532"/>
      <c r="Q9" s="532"/>
      <c r="R9" s="532"/>
      <c r="S9" s="532"/>
      <c r="T9" s="532"/>
      <c r="U9" s="532"/>
      <c r="V9" s="532"/>
      <c r="W9" s="532"/>
    </row>
    <row r="10" spans="1:23" s="527" customFormat="1" ht="20.100000000000001" customHeight="1" x14ac:dyDescent="0.2">
      <c r="A10" s="668">
        <v>3299</v>
      </c>
      <c r="B10" s="1362" t="s">
        <v>551</v>
      </c>
      <c r="C10" s="1363"/>
      <c r="D10" s="462">
        <v>530</v>
      </c>
      <c r="E10" s="463">
        <v>193.83</v>
      </c>
      <c r="F10" s="593">
        <v>1030</v>
      </c>
      <c r="G10" s="466">
        <v>1230</v>
      </c>
      <c r="H10" s="692">
        <v>315.83999999999997</v>
      </c>
      <c r="I10" s="462">
        <v>961</v>
      </c>
      <c r="J10" s="464">
        <v>113</v>
      </c>
      <c r="K10" s="1064">
        <v>56</v>
      </c>
      <c r="L10" s="1076">
        <f>SUM(I10:K10)</f>
        <v>1130</v>
      </c>
      <c r="M10" s="468">
        <f>L10/F10*100</f>
        <v>109.70873786407766</v>
      </c>
      <c r="N10" s="469">
        <f>L10/G10*100</f>
        <v>91.869918699186996</v>
      </c>
      <c r="O10" s="532"/>
      <c r="P10" s="532"/>
      <c r="Q10" s="532"/>
      <c r="R10" s="532"/>
      <c r="S10" s="532"/>
      <c r="T10" s="532"/>
      <c r="U10" s="532"/>
      <c r="V10" s="532"/>
      <c r="W10" s="532"/>
    </row>
    <row r="11" spans="1:23" s="529" customFormat="1" ht="31.5" customHeight="1" x14ac:dyDescent="0.2">
      <c r="A11" s="507">
        <v>3541</v>
      </c>
      <c r="B11" s="1302" t="s">
        <v>278</v>
      </c>
      <c r="C11" s="1303"/>
      <c r="D11" s="471">
        <v>116</v>
      </c>
      <c r="E11" s="472">
        <v>340.93</v>
      </c>
      <c r="F11" s="517">
        <v>620</v>
      </c>
      <c r="G11" s="474">
        <v>670</v>
      </c>
      <c r="H11" s="579">
        <v>165.18</v>
      </c>
      <c r="I11" s="471">
        <v>527</v>
      </c>
      <c r="J11" s="543">
        <v>62</v>
      </c>
      <c r="K11" s="1068">
        <v>31</v>
      </c>
      <c r="L11" s="1065">
        <f t="shared" ref="L11:L21" si="0">SUM(I11:K11)</f>
        <v>620</v>
      </c>
      <c r="M11" s="476">
        <f>L11/F11*100</f>
        <v>100</v>
      </c>
      <c r="N11" s="477">
        <f>L11/G11*100</f>
        <v>92.537313432835816</v>
      </c>
    </row>
    <row r="12" spans="1:23" s="529" customFormat="1" ht="29.25" customHeight="1" x14ac:dyDescent="0.2">
      <c r="A12" s="507">
        <v>4349</v>
      </c>
      <c r="B12" s="1302" t="s">
        <v>171</v>
      </c>
      <c r="C12" s="1303"/>
      <c r="D12" s="471">
        <v>1060</v>
      </c>
      <c r="E12" s="472">
        <v>159.72</v>
      </c>
      <c r="F12" s="517">
        <v>350</v>
      </c>
      <c r="G12" s="474">
        <v>300</v>
      </c>
      <c r="H12" s="579">
        <v>0</v>
      </c>
      <c r="I12" s="471">
        <v>213</v>
      </c>
      <c r="J12" s="543">
        <v>25</v>
      </c>
      <c r="K12" s="1068">
        <v>12</v>
      </c>
      <c r="L12" s="1065">
        <f t="shared" si="0"/>
        <v>250</v>
      </c>
      <c r="M12" s="476">
        <f t="shared" ref="M12:M19" si="1">L12/F12*100</f>
        <v>71.428571428571431</v>
      </c>
      <c r="N12" s="477">
        <f t="shared" ref="N12:N21" si="2">L12/G12*100</f>
        <v>83.333333333333343</v>
      </c>
    </row>
    <row r="13" spans="1:23" s="529" customFormat="1" ht="20.100000000000001" customHeight="1" x14ac:dyDescent="0.2">
      <c r="A13" s="500">
        <v>5212</v>
      </c>
      <c r="B13" s="1302" t="s">
        <v>147</v>
      </c>
      <c r="C13" s="1303"/>
      <c r="D13" s="471">
        <v>1000</v>
      </c>
      <c r="E13" s="472">
        <v>168.73</v>
      </c>
      <c r="F13" s="517">
        <v>1000</v>
      </c>
      <c r="G13" s="474">
        <v>1000</v>
      </c>
      <c r="H13" s="579">
        <v>162.87</v>
      </c>
      <c r="I13" s="471">
        <v>1000</v>
      </c>
      <c r="J13" s="543">
        <v>0</v>
      </c>
      <c r="K13" s="1068">
        <v>0</v>
      </c>
      <c r="L13" s="1065">
        <f t="shared" si="0"/>
        <v>1000</v>
      </c>
      <c r="M13" s="476">
        <f t="shared" si="1"/>
        <v>100</v>
      </c>
      <c r="N13" s="477">
        <f t="shared" si="2"/>
        <v>100</v>
      </c>
    </row>
    <row r="14" spans="1:23" s="529" customFormat="1" ht="20.100000000000001" customHeight="1" x14ac:dyDescent="0.2">
      <c r="A14" s="500">
        <v>5213</v>
      </c>
      <c r="B14" s="1302" t="s">
        <v>148</v>
      </c>
      <c r="C14" s="1303"/>
      <c r="D14" s="471">
        <v>500</v>
      </c>
      <c r="E14" s="472">
        <v>0</v>
      </c>
      <c r="F14" s="517">
        <v>500</v>
      </c>
      <c r="G14" s="474">
        <v>500</v>
      </c>
      <c r="H14" s="579">
        <v>0</v>
      </c>
      <c r="I14" s="471">
        <v>500</v>
      </c>
      <c r="J14" s="543">
        <v>0</v>
      </c>
      <c r="K14" s="1068">
        <v>0</v>
      </c>
      <c r="L14" s="1065">
        <f t="shared" si="0"/>
        <v>500</v>
      </c>
      <c r="M14" s="476">
        <f t="shared" si="1"/>
        <v>100</v>
      </c>
      <c r="N14" s="477">
        <f t="shared" si="2"/>
        <v>100</v>
      </c>
    </row>
    <row r="15" spans="1:23" s="529" customFormat="1" ht="20.100000000000001" customHeight="1" x14ac:dyDescent="0.2">
      <c r="A15" s="500">
        <v>5273</v>
      </c>
      <c r="B15" s="1302" t="s">
        <v>235</v>
      </c>
      <c r="C15" s="1303"/>
      <c r="D15" s="494">
        <v>1800</v>
      </c>
      <c r="E15" s="518">
        <v>370.51</v>
      </c>
      <c r="F15" s="519">
        <v>1809</v>
      </c>
      <c r="G15" s="496">
        <v>2404.3200000000002</v>
      </c>
      <c r="H15" s="580">
        <v>826.69</v>
      </c>
      <c r="I15" s="494">
        <v>1809</v>
      </c>
      <c r="J15" s="545">
        <v>0</v>
      </c>
      <c r="K15" s="1073">
        <v>0</v>
      </c>
      <c r="L15" s="1065">
        <f t="shared" si="0"/>
        <v>1809</v>
      </c>
      <c r="M15" s="476">
        <f t="shared" si="1"/>
        <v>100</v>
      </c>
      <c r="N15" s="477">
        <f t="shared" si="2"/>
        <v>75.23956877620283</v>
      </c>
    </row>
    <row r="16" spans="1:23" s="529" customFormat="1" ht="20.100000000000001" customHeight="1" x14ac:dyDescent="0.2">
      <c r="A16" s="500">
        <v>5279</v>
      </c>
      <c r="B16" s="1302" t="s">
        <v>149</v>
      </c>
      <c r="C16" s="1303"/>
      <c r="D16" s="494">
        <v>700</v>
      </c>
      <c r="E16" s="518">
        <v>0</v>
      </c>
      <c r="F16" s="519">
        <v>890</v>
      </c>
      <c r="G16" s="496">
        <v>890</v>
      </c>
      <c r="H16" s="580">
        <v>0</v>
      </c>
      <c r="I16" s="494">
        <v>890</v>
      </c>
      <c r="J16" s="545">
        <v>0</v>
      </c>
      <c r="K16" s="1073">
        <v>0</v>
      </c>
      <c r="L16" s="1066">
        <f t="shared" si="0"/>
        <v>890</v>
      </c>
      <c r="M16" s="476">
        <f t="shared" si="1"/>
        <v>100</v>
      </c>
      <c r="N16" s="477">
        <f t="shared" si="2"/>
        <v>100</v>
      </c>
    </row>
    <row r="17" spans="1:15" s="529" customFormat="1" ht="31.5" customHeight="1" x14ac:dyDescent="0.2">
      <c r="A17" s="507">
        <v>5399</v>
      </c>
      <c r="B17" s="1302" t="s">
        <v>493</v>
      </c>
      <c r="C17" s="1303"/>
      <c r="D17" s="471">
        <v>0</v>
      </c>
      <c r="E17" s="472">
        <v>1360</v>
      </c>
      <c r="F17" s="517">
        <v>0</v>
      </c>
      <c r="G17" s="474">
        <v>0</v>
      </c>
      <c r="H17" s="579">
        <v>0</v>
      </c>
      <c r="I17" s="471">
        <v>0</v>
      </c>
      <c r="J17" s="543">
        <v>0</v>
      </c>
      <c r="K17" s="1068">
        <v>0</v>
      </c>
      <c r="L17" s="1066">
        <f t="shared" si="0"/>
        <v>0</v>
      </c>
      <c r="M17" s="476" t="s">
        <v>60</v>
      </c>
      <c r="N17" s="477" t="s">
        <v>60</v>
      </c>
    </row>
    <row r="18" spans="1:15" s="529" customFormat="1" ht="20.100000000000001" customHeight="1" x14ac:dyDescent="0.2">
      <c r="A18" s="500">
        <v>5512</v>
      </c>
      <c r="B18" s="1302" t="s">
        <v>234</v>
      </c>
      <c r="C18" s="1303"/>
      <c r="D18" s="471">
        <v>500</v>
      </c>
      <c r="E18" s="472">
        <v>0</v>
      </c>
      <c r="F18" s="517">
        <v>500</v>
      </c>
      <c r="G18" s="474">
        <v>500</v>
      </c>
      <c r="H18" s="579">
        <v>44.53</v>
      </c>
      <c r="I18" s="471">
        <v>0</v>
      </c>
      <c r="J18" s="543">
        <v>0</v>
      </c>
      <c r="K18" s="1068">
        <v>500</v>
      </c>
      <c r="L18" s="1065">
        <f>SUM(I18:K18)</f>
        <v>500</v>
      </c>
      <c r="M18" s="476">
        <f t="shared" si="1"/>
        <v>100</v>
      </c>
      <c r="N18" s="477">
        <f t="shared" si="2"/>
        <v>100</v>
      </c>
    </row>
    <row r="19" spans="1:15" s="529" customFormat="1" ht="20.100000000000001" customHeight="1" x14ac:dyDescent="0.2">
      <c r="A19" s="1420">
        <v>6172</v>
      </c>
      <c r="B19" s="823" t="s">
        <v>105</v>
      </c>
      <c r="C19" s="822"/>
      <c r="D19" s="471">
        <v>11585</v>
      </c>
      <c r="E19" s="472">
        <v>9362.85</v>
      </c>
      <c r="F19" s="517">
        <v>11000</v>
      </c>
      <c r="G19" s="474">
        <v>11974.66</v>
      </c>
      <c r="H19" s="579">
        <v>7397.99</v>
      </c>
      <c r="I19" s="471">
        <v>11627</v>
      </c>
      <c r="J19" s="543">
        <v>0</v>
      </c>
      <c r="K19" s="1068">
        <v>0</v>
      </c>
      <c r="L19" s="1065">
        <f t="shared" si="0"/>
        <v>11627</v>
      </c>
      <c r="M19" s="476">
        <f t="shared" si="1"/>
        <v>105.69999999999999</v>
      </c>
      <c r="N19" s="477">
        <f t="shared" si="2"/>
        <v>97.096702536856995</v>
      </c>
    </row>
    <row r="20" spans="1:15" s="529" customFormat="1" ht="15" customHeight="1" x14ac:dyDescent="0.2">
      <c r="A20" s="1421"/>
      <c r="B20" s="446" t="s">
        <v>96</v>
      </c>
      <c r="C20" s="681" t="s">
        <v>150</v>
      </c>
      <c r="D20" s="74">
        <v>0</v>
      </c>
      <c r="E20" s="99">
        <v>0</v>
      </c>
      <c r="F20" s="346">
        <v>0</v>
      </c>
      <c r="G20" s="76">
        <v>129.18</v>
      </c>
      <c r="H20" s="84">
        <v>104.53</v>
      </c>
      <c r="I20" s="80">
        <v>0</v>
      </c>
      <c r="J20" s="906">
        <v>0</v>
      </c>
      <c r="K20" s="907">
        <v>0</v>
      </c>
      <c r="L20" s="1071">
        <f t="shared" si="0"/>
        <v>0</v>
      </c>
      <c r="M20" s="133" t="s">
        <v>60</v>
      </c>
      <c r="N20" s="79">
        <f t="shared" si="2"/>
        <v>0</v>
      </c>
    </row>
    <row r="21" spans="1:15" s="529" customFormat="1" ht="20.100000000000001" customHeight="1" thickBot="1" x14ac:dyDescent="0.25">
      <c r="A21" s="500">
        <v>6221</v>
      </c>
      <c r="B21" s="1302" t="s">
        <v>274</v>
      </c>
      <c r="C21" s="1303"/>
      <c r="D21" s="471">
        <v>0</v>
      </c>
      <c r="E21" s="472">
        <v>1479.37</v>
      </c>
      <c r="F21" s="517">
        <v>0</v>
      </c>
      <c r="G21" s="474">
        <v>254.83</v>
      </c>
      <c r="H21" s="579">
        <v>254.83</v>
      </c>
      <c r="I21" s="471">
        <v>0</v>
      </c>
      <c r="J21" s="543">
        <v>0</v>
      </c>
      <c r="K21" s="1068">
        <v>0</v>
      </c>
      <c r="L21" s="1065">
        <f t="shared" si="0"/>
        <v>0</v>
      </c>
      <c r="M21" s="476" t="s">
        <v>60</v>
      </c>
      <c r="N21" s="477">
        <f t="shared" si="2"/>
        <v>0</v>
      </c>
    </row>
    <row r="22" spans="1:15" s="19" customFormat="1" ht="16.5" thickBot="1" x14ac:dyDescent="0.3">
      <c r="A22" s="206"/>
      <c r="B22" s="417" t="s">
        <v>85</v>
      </c>
      <c r="C22" s="418"/>
      <c r="D22" s="183">
        <f t="shared" ref="D22:L22" si="3">SUM(D9:D19)+D21</f>
        <v>17791</v>
      </c>
      <c r="E22" s="196">
        <f t="shared" si="3"/>
        <v>13435.939999999999</v>
      </c>
      <c r="F22" s="183">
        <f t="shared" si="3"/>
        <v>17699</v>
      </c>
      <c r="G22" s="185">
        <f t="shared" si="3"/>
        <v>20723.810000000001</v>
      </c>
      <c r="H22" s="184">
        <f t="shared" si="3"/>
        <v>10167.93</v>
      </c>
      <c r="I22" s="183">
        <f t="shared" si="3"/>
        <v>17527</v>
      </c>
      <c r="J22" s="982">
        <f t="shared" si="3"/>
        <v>200</v>
      </c>
      <c r="K22" s="193">
        <f t="shared" si="3"/>
        <v>599</v>
      </c>
      <c r="L22" s="1067">
        <f t="shared" si="3"/>
        <v>18326</v>
      </c>
      <c r="M22" s="190">
        <f>L22/F22*100</f>
        <v>103.54257302672467</v>
      </c>
      <c r="N22" s="191">
        <f>L22/G22*100</f>
        <v>88.429685468067888</v>
      </c>
      <c r="O22" s="18"/>
    </row>
    <row r="23" spans="1:15" ht="15" x14ac:dyDescent="0.25">
      <c r="A23" s="20"/>
      <c r="B23" s="20"/>
      <c r="C23" s="20"/>
      <c r="D23" s="170"/>
      <c r="E23" s="169"/>
      <c r="F23" s="170"/>
      <c r="G23" s="172"/>
      <c r="H23" s="172"/>
      <c r="I23" s="172"/>
      <c r="J23" s="172"/>
      <c r="K23" s="172"/>
      <c r="L23" s="172"/>
      <c r="M23" s="24"/>
      <c r="N23" s="25"/>
      <c r="O23" s="17"/>
    </row>
    <row r="24" spans="1:15" ht="15" x14ac:dyDescent="0.25">
      <c r="A24" s="20"/>
      <c r="B24" s="20"/>
      <c r="C24" s="20"/>
      <c r="D24" s="169"/>
      <c r="E24" s="169"/>
      <c r="F24" s="169"/>
      <c r="G24" s="169"/>
      <c r="H24" s="169"/>
      <c r="I24" s="169"/>
      <c r="J24" s="169"/>
      <c r="K24" s="169"/>
      <c r="L24" s="169"/>
      <c r="M24" s="24"/>
      <c r="N24" s="25"/>
      <c r="O24" s="17"/>
    </row>
  </sheetData>
  <mergeCells count="20">
    <mergeCell ref="B18:C18"/>
    <mergeCell ref="B21:C21"/>
    <mergeCell ref="B13:C13"/>
    <mergeCell ref="B17:C17"/>
    <mergeCell ref="A19:A20"/>
    <mergeCell ref="A2:N2"/>
    <mergeCell ref="A6:A7"/>
    <mergeCell ref="M6:M7"/>
    <mergeCell ref="N6:N7"/>
    <mergeCell ref="B6:C7"/>
    <mergeCell ref="D6:E6"/>
    <mergeCell ref="F6:H6"/>
    <mergeCell ref="B9:C9"/>
    <mergeCell ref="B16:C16"/>
    <mergeCell ref="I6:L6"/>
    <mergeCell ref="B15:C15"/>
    <mergeCell ref="B14:C14"/>
    <mergeCell ref="B12:C12"/>
    <mergeCell ref="B11:C11"/>
    <mergeCell ref="B10:C10"/>
  </mergeCells>
  <printOptions horizontalCentered="1"/>
  <pageMargins left="0.59055118110236227" right="0.59055118110236227" top="0.78740157480314965" bottom="0.78740157480314965" header="0.59055118110236227" footer="0.59055118110236227"/>
  <pageSetup paperSize="9"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9"/>
  <sheetViews>
    <sheetView workbookViewId="0"/>
  </sheetViews>
  <sheetFormatPr defaultRowHeight="12.75" x14ac:dyDescent="0.2"/>
  <cols>
    <col min="1" max="1" width="8" style="1" customWidth="1"/>
    <col min="2" max="2" width="6.7109375" style="1" customWidth="1"/>
    <col min="3" max="3" width="41.570312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3" width="10.85546875" style="5" customWidth="1"/>
    <col min="14" max="14" width="9.7109375" style="5" customWidth="1"/>
    <col min="15" max="15" width="9.42578125" style="1" bestFit="1" customWidth="1"/>
    <col min="16" max="253" width="9.140625" style="1"/>
    <col min="254" max="254" width="6.7109375" style="1" customWidth="1"/>
    <col min="255" max="255" width="41.5703125" style="1" customWidth="1"/>
    <col min="256" max="263" width="14.7109375" style="1" customWidth="1"/>
    <col min="264" max="264" width="16.7109375" style="1" customWidth="1"/>
    <col min="265" max="265" width="10.85546875" style="1" customWidth="1"/>
    <col min="266" max="266" width="9.7109375" style="1" customWidth="1"/>
    <col min="267" max="509" width="9.140625" style="1"/>
    <col min="510" max="510" width="6.7109375" style="1" customWidth="1"/>
    <col min="511" max="511" width="41.5703125" style="1" customWidth="1"/>
    <col min="512" max="519" width="14.7109375" style="1" customWidth="1"/>
    <col min="520" max="520" width="16.7109375" style="1" customWidth="1"/>
    <col min="521" max="521" width="10.85546875" style="1" customWidth="1"/>
    <col min="522" max="522" width="9.7109375" style="1" customWidth="1"/>
    <col min="523" max="765" width="9.140625" style="1"/>
    <col min="766" max="766" width="6.7109375" style="1" customWidth="1"/>
    <col min="767" max="767" width="41.5703125" style="1" customWidth="1"/>
    <col min="768" max="775" width="14.7109375" style="1" customWidth="1"/>
    <col min="776" max="776" width="16.7109375" style="1" customWidth="1"/>
    <col min="777" max="777" width="10.85546875" style="1" customWidth="1"/>
    <col min="778" max="778" width="9.7109375" style="1" customWidth="1"/>
    <col min="779" max="1021" width="9.140625" style="1"/>
    <col min="1022" max="1022" width="6.7109375" style="1" customWidth="1"/>
    <col min="1023" max="1023" width="41.5703125" style="1" customWidth="1"/>
    <col min="1024" max="1031" width="14.7109375" style="1" customWidth="1"/>
    <col min="1032" max="1032" width="16.7109375" style="1" customWidth="1"/>
    <col min="1033" max="1033" width="10.85546875" style="1" customWidth="1"/>
    <col min="1034" max="1034" width="9.7109375" style="1" customWidth="1"/>
    <col min="1035" max="1277" width="9.140625" style="1"/>
    <col min="1278" max="1278" width="6.7109375" style="1" customWidth="1"/>
    <col min="1279" max="1279" width="41.5703125" style="1" customWidth="1"/>
    <col min="1280" max="1287" width="14.7109375" style="1" customWidth="1"/>
    <col min="1288" max="1288" width="16.7109375" style="1" customWidth="1"/>
    <col min="1289" max="1289" width="10.85546875" style="1" customWidth="1"/>
    <col min="1290" max="1290" width="9.7109375" style="1" customWidth="1"/>
    <col min="1291" max="1533" width="9.140625" style="1"/>
    <col min="1534" max="1534" width="6.7109375" style="1" customWidth="1"/>
    <col min="1535" max="1535" width="41.5703125" style="1" customWidth="1"/>
    <col min="1536" max="1543" width="14.7109375" style="1" customWidth="1"/>
    <col min="1544" max="1544" width="16.7109375" style="1" customWidth="1"/>
    <col min="1545" max="1545" width="10.85546875" style="1" customWidth="1"/>
    <col min="1546" max="1546" width="9.7109375" style="1" customWidth="1"/>
    <col min="1547" max="1789" width="9.140625" style="1"/>
    <col min="1790" max="1790" width="6.7109375" style="1" customWidth="1"/>
    <col min="1791" max="1791" width="41.5703125" style="1" customWidth="1"/>
    <col min="1792" max="1799" width="14.7109375" style="1" customWidth="1"/>
    <col min="1800" max="1800" width="16.7109375" style="1" customWidth="1"/>
    <col min="1801" max="1801" width="10.85546875" style="1" customWidth="1"/>
    <col min="1802" max="1802" width="9.7109375" style="1" customWidth="1"/>
    <col min="1803" max="2045" width="9.140625" style="1"/>
    <col min="2046" max="2046" width="6.7109375" style="1" customWidth="1"/>
    <col min="2047" max="2047" width="41.5703125" style="1" customWidth="1"/>
    <col min="2048" max="2055" width="14.7109375" style="1" customWidth="1"/>
    <col min="2056" max="2056" width="16.7109375" style="1" customWidth="1"/>
    <col min="2057" max="2057" width="10.85546875" style="1" customWidth="1"/>
    <col min="2058" max="2058" width="9.7109375" style="1" customWidth="1"/>
    <col min="2059" max="2301" width="9.140625" style="1"/>
    <col min="2302" max="2302" width="6.7109375" style="1" customWidth="1"/>
    <col min="2303" max="2303" width="41.5703125" style="1" customWidth="1"/>
    <col min="2304" max="2311" width="14.7109375" style="1" customWidth="1"/>
    <col min="2312" max="2312" width="16.7109375" style="1" customWidth="1"/>
    <col min="2313" max="2313" width="10.85546875" style="1" customWidth="1"/>
    <col min="2314" max="2314" width="9.7109375" style="1" customWidth="1"/>
    <col min="2315" max="2557" width="9.140625" style="1"/>
    <col min="2558" max="2558" width="6.7109375" style="1" customWidth="1"/>
    <col min="2559" max="2559" width="41.5703125" style="1" customWidth="1"/>
    <col min="2560" max="2567" width="14.7109375" style="1" customWidth="1"/>
    <col min="2568" max="2568" width="16.7109375" style="1" customWidth="1"/>
    <col min="2569" max="2569" width="10.85546875" style="1" customWidth="1"/>
    <col min="2570" max="2570" width="9.7109375" style="1" customWidth="1"/>
    <col min="2571" max="2813" width="9.140625" style="1"/>
    <col min="2814" max="2814" width="6.7109375" style="1" customWidth="1"/>
    <col min="2815" max="2815" width="41.5703125" style="1" customWidth="1"/>
    <col min="2816" max="2823" width="14.7109375" style="1" customWidth="1"/>
    <col min="2824" max="2824" width="16.7109375" style="1" customWidth="1"/>
    <col min="2825" max="2825" width="10.85546875" style="1" customWidth="1"/>
    <col min="2826" max="2826" width="9.7109375" style="1" customWidth="1"/>
    <col min="2827" max="3069" width="9.140625" style="1"/>
    <col min="3070" max="3070" width="6.7109375" style="1" customWidth="1"/>
    <col min="3071" max="3071" width="41.5703125" style="1" customWidth="1"/>
    <col min="3072" max="3079" width="14.7109375" style="1" customWidth="1"/>
    <col min="3080" max="3080" width="16.7109375" style="1" customWidth="1"/>
    <col min="3081" max="3081" width="10.85546875" style="1" customWidth="1"/>
    <col min="3082" max="3082" width="9.7109375" style="1" customWidth="1"/>
    <col min="3083" max="3325" width="9.140625" style="1"/>
    <col min="3326" max="3326" width="6.7109375" style="1" customWidth="1"/>
    <col min="3327" max="3327" width="41.5703125" style="1" customWidth="1"/>
    <col min="3328" max="3335" width="14.7109375" style="1" customWidth="1"/>
    <col min="3336" max="3336" width="16.7109375" style="1" customWidth="1"/>
    <col min="3337" max="3337" width="10.85546875" style="1" customWidth="1"/>
    <col min="3338" max="3338" width="9.7109375" style="1" customWidth="1"/>
    <col min="3339" max="3581" width="9.140625" style="1"/>
    <col min="3582" max="3582" width="6.7109375" style="1" customWidth="1"/>
    <col min="3583" max="3583" width="41.5703125" style="1" customWidth="1"/>
    <col min="3584" max="3591" width="14.7109375" style="1" customWidth="1"/>
    <col min="3592" max="3592" width="16.7109375" style="1" customWidth="1"/>
    <col min="3593" max="3593" width="10.85546875" style="1" customWidth="1"/>
    <col min="3594" max="3594" width="9.7109375" style="1" customWidth="1"/>
    <col min="3595" max="3837" width="9.140625" style="1"/>
    <col min="3838" max="3838" width="6.7109375" style="1" customWidth="1"/>
    <col min="3839" max="3839" width="41.5703125" style="1" customWidth="1"/>
    <col min="3840" max="3847" width="14.7109375" style="1" customWidth="1"/>
    <col min="3848" max="3848" width="16.7109375" style="1" customWidth="1"/>
    <col min="3849" max="3849" width="10.85546875" style="1" customWidth="1"/>
    <col min="3850" max="3850" width="9.7109375" style="1" customWidth="1"/>
    <col min="3851" max="4093" width="9.140625" style="1"/>
    <col min="4094" max="4094" width="6.7109375" style="1" customWidth="1"/>
    <col min="4095" max="4095" width="41.5703125" style="1" customWidth="1"/>
    <col min="4096" max="4103" width="14.7109375" style="1" customWidth="1"/>
    <col min="4104" max="4104" width="16.7109375" style="1" customWidth="1"/>
    <col min="4105" max="4105" width="10.85546875" style="1" customWidth="1"/>
    <col min="4106" max="4106" width="9.7109375" style="1" customWidth="1"/>
    <col min="4107" max="4349" width="9.140625" style="1"/>
    <col min="4350" max="4350" width="6.7109375" style="1" customWidth="1"/>
    <col min="4351" max="4351" width="41.5703125" style="1" customWidth="1"/>
    <col min="4352" max="4359" width="14.7109375" style="1" customWidth="1"/>
    <col min="4360" max="4360" width="16.7109375" style="1" customWidth="1"/>
    <col min="4361" max="4361" width="10.85546875" style="1" customWidth="1"/>
    <col min="4362" max="4362" width="9.7109375" style="1" customWidth="1"/>
    <col min="4363" max="4605" width="9.140625" style="1"/>
    <col min="4606" max="4606" width="6.7109375" style="1" customWidth="1"/>
    <col min="4607" max="4607" width="41.5703125" style="1" customWidth="1"/>
    <col min="4608" max="4615" width="14.7109375" style="1" customWidth="1"/>
    <col min="4616" max="4616" width="16.7109375" style="1" customWidth="1"/>
    <col min="4617" max="4617" width="10.85546875" style="1" customWidth="1"/>
    <col min="4618" max="4618" width="9.7109375" style="1" customWidth="1"/>
    <col min="4619" max="4861" width="9.140625" style="1"/>
    <col min="4862" max="4862" width="6.7109375" style="1" customWidth="1"/>
    <col min="4863" max="4863" width="41.5703125" style="1" customWidth="1"/>
    <col min="4864" max="4871" width="14.7109375" style="1" customWidth="1"/>
    <col min="4872" max="4872" width="16.7109375" style="1" customWidth="1"/>
    <col min="4873" max="4873" width="10.85546875" style="1" customWidth="1"/>
    <col min="4874" max="4874" width="9.7109375" style="1" customWidth="1"/>
    <col min="4875" max="5117" width="9.140625" style="1"/>
    <col min="5118" max="5118" width="6.7109375" style="1" customWidth="1"/>
    <col min="5119" max="5119" width="41.5703125" style="1" customWidth="1"/>
    <col min="5120" max="5127" width="14.7109375" style="1" customWidth="1"/>
    <col min="5128" max="5128" width="16.7109375" style="1" customWidth="1"/>
    <col min="5129" max="5129" width="10.85546875" style="1" customWidth="1"/>
    <col min="5130" max="5130" width="9.7109375" style="1" customWidth="1"/>
    <col min="5131" max="5373" width="9.140625" style="1"/>
    <col min="5374" max="5374" width="6.7109375" style="1" customWidth="1"/>
    <col min="5375" max="5375" width="41.5703125" style="1" customWidth="1"/>
    <col min="5376" max="5383" width="14.7109375" style="1" customWidth="1"/>
    <col min="5384" max="5384" width="16.7109375" style="1" customWidth="1"/>
    <col min="5385" max="5385" width="10.85546875" style="1" customWidth="1"/>
    <col min="5386" max="5386" width="9.7109375" style="1" customWidth="1"/>
    <col min="5387" max="5629" width="9.140625" style="1"/>
    <col min="5630" max="5630" width="6.7109375" style="1" customWidth="1"/>
    <col min="5631" max="5631" width="41.5703125" style="1" customWidth="1"/>
    <col min="5632" max="5639" width="14.7109375" style="1" customWidth="1"/>
    <col min="5640" max="5640" width="16.7109375" style="1" customWidth="1"/>
    <col min="5641" max="5641" width="10.85546875" style="1" customWidth="1"/>
    <col min="5642" max="5642" width="9.7109375" style="1" customWidth="1"/>
    <col min="5643" max="5885" width="9.140625" style="1"/>
    <col min="5886" max="5886" width="6.7109375" style="1" customWidth="1"/>
    <col min="5887" max="5887" width="41.5703125" style="1" customWidth="1"/>
    <col min="5888" max="5895" width="14.7109375" style="1" customWidth="1"/>
    <col min="5896" max="5896" width="16.7109375" style="1" customWidth="1"/>
    <col min="5897" max="5897" width="10.85546875" style="1" customWidth="1"/>
    <col min="5898" max="5898" width="9.7109375" style="1" customWidth="1"/>
    <col min="5899" max="6141" width="9.140625" style="1"/>
    <col min="6142" max="6142" width="6.7109375" style="1" customWidth="1"/>
    <col min="6143" max="6143" width="41.5703125" style="1" customWidth="1"/>
    <col min="6144" max="6151" width="14.7109375" style="1" customWidth="1"/>
    <col min="6152" max="6152" width="16.7109375" style="1" customWidth="1"/>
    <col min="6153" max="6153" width="10.85546875" style="1" customWidth="1"/>
    <col min="6154" max="6154" width="9.7109375" style="1" customWidth="1"/>
    <col min="6155" max="6397" width="9.140625" style="1"/>
    <col min="6398" max="6398" width="6.7109375" style="1" customWidth="1"/>
    <col min="6399" max="6399" width="41.5703125" style="1" customWidth="1"/>
    <col min="6400" max="6407" width="14.7109375" style="1" customWidth="1"/>
    <col min="6408" max="6408" width="16.7109375" style="1" customWidth="1"/>
    <col min="6409" max="6409" width="10.85546875" style="1" customWidth="1"/>
    <col min="6410" max="6410" width="9.7109375" style="1" customWidth="1"/>
    <col min="6411" max="6653" width="9.140625" style="1"/>
    <col min="6654" max="6654" width="6.7109375" style="1" customWidth="1"/>
    <col min="6655" max="6655" width="41.5703125" style="1" customWidth="1"/>
    <col min="6656" max="6663" width="14.7109375" style="1" customWidth="1"/>
    <col min="6664" max="6664" width="16.7109375" style="1" customWidth="1"/>
    <col min="6665" max="6665" width="10.85546875" style="1" customWidth="1"/>
    <col min="6666" max="6666" width="9.7109375" style="1" customWidth="1"/>
    <col min="6667" max="6909" width="9.140625" style="1"/>
    <col min="6910" max="6910" width="6.7109375" style="1" customWidth="1"/>
    <col min="6911" max="6911" width="41.5703125" style="1" customWidth="1"/>
    <col min="6912" max="6919" width="14.7109375" style="1" customWidth="1"/>
    <col min="6920" max="6920" width="16.7109375" style="1" customWidth="1"/>
    <col min="6921" max="6921" width="10.85546875" style="1" customWidth="1"/>
    <col min="6922" max="6922" width="9.7109375" style="1" customWidth="1"/>
    <col min="6923" max="7165" width="9.140625" style="1"/>
    <col min="7166" max="7166" width="6.7109375" style="1" customWidth="1"/>
    <col min="7167" max="7167" width="41.5703125" style="1" customWidth="1"/>
    <col min="7168" max="7175" width="14.7109375" style="1" customWidth="1"/>
    <col min="7176" max="7176" width="16.7109375" style="1" customWidth="1"/>
    <col min="7177" max="7177" width="10.85546875" style="1" customWidth="1"/>
    <col min="7178" max="7178" width="9.7109375" style="1" customWidth="1"/>
    <col min="7179" max="7421" width="9.140625" style="1"/>
    <col min="7422" max="7422" width="6.7109375" style="1" customWidth="1"/>
    <col min="7423" max="7423" width="41.5703125" style="1" customWidth="1"/>
    <col min="7424" max="7431" width="14.7109375" style="1" customWidth="1"/>
    <col min="7432" max="7432" width="16.7109375" style="1" customWidth="1"/>
    <col min="7433" max="7433" width="10.85546875" style="1" customWidth="1"/>
    <col min="7434" max="7434" width="9.7109375" style="1" customWidth="1"/>
    <col min="7435" max="7677" width="9.140625" style="1"/>
    <col min="7678" max="7678" width="6.7109375" style="1" customWidth="1"/>
    <col min="7679" max="7679" width="41.5703125" style="1" customWidth="1"/>
    <col min="7680" max="7687" width="14.7109375" style="1" customWidth="1"/>
    <col min="7688" max="7688" width="16.7109375" style="1" customWidth="1"/>
    <col min="7689" max="7689" width="10.85546875" style="1" customWidth="1"/>
    <col min="7690" max="7690" width="9.7109375" style="1" customWidth="1"/>
    <col min="7691" max="7933" width="9.140625" style="1"/>
    <col min="7934" max="7934" width="6.7109375" style="1" customWidth="1"/>
    <col min="7935" max="7935" width="41.5703125" style="1" customWidth="1"/>
    <col min="7936" max="7943" width="14.7109375" style="1" customWidth="1"/>
    <col min="7944" max="7944" width="16.7109375" style="1" customWidth="1"/>
    <col min="7945" max="7945" width="10.85546875" style="1" customWidth="1"/>
    <col min="7946" max="7946" width="9.7109375" style="1" customWidth="1"/>
    <col min="7947" max="8189" width="9.140625" style="1"/>
    <col min="8190" max="8190" width="6.7109375" style="1" customWidth="1"/>
    <col min="8191" max="8191" width="41.5703125" style="1" customWidth="1"/>
    <col min="8192" max="8199" width="14.7109375" style="1" customWidth="1"/>
    <col min="8200" max="8200" width="16.7109375" style="1" customWidth="1"/>
    <col min="8201" max="8201" width="10.85546875" style="1" customWidth="1"/>
    <col min="8202" max="8202" width="9.7109375" style="1" customWidth="1"/>
    <col min="8203" max="8445" width="9.140625" style="1"/>
    <col min="8446" max="8446" width="6.7109375" style="1" customWidth="1"/>
    <col min="8447" max="8447" width="41.5703125" style="1" customWidth="1"/>
    <col min="8448" max="8455" width="14.7109375" style="1" customWidth="1"/>
    <col min="8456" max="8456" width="16.7109375" style="1" customWidth="1"/>
    <col min="8457" max="8457" width="10.85546875" style="1" customWidth="1"/>
    <col min="8458" max="8458" width="9.7109375" style="1" customWidth="1"/>
    <col min="8459" max="8701" width="9.140625" style="1"/>
    <col min="8702" max="8702" width="6.7109375" style="1" customWidth="1"/>
    <col min="8703" max="8703" width="41.5703125" style="1" customWidth="1"/>
    <col min="8704" max="8711" width="14.7109375" style="1" customWidth="1"/>
    <col min="8712" max="8712" width="16.7109375" style="1" customWidth="1"/>
    <col min="8713" max="8713" width="10.85546875" style="1" customWidth="1"/>
    <col min="8714" max="8714" width="9.7109375" style="1" customWidth="1"/>
    <col min="8715" max="8957" width="9.140625" style="1"/>
    <col min="8958" max="8958" width="6.7109375" style="1" customWidth="1"/>
    <col min="8959" max="8959" width="41.5703125" style="1" customWidth="1"/>
    <col min="8960" max="8967" width="14.7109375" style="1" customWidth="1"/>
    <col min="8968" max="8968" width="16.7109375" style="1" customWidth="1"/>
    <col min="8969" max="8969" width="10.85546875" style="1" customWidth="1"/>
    <col min="8970" max="8970" width="9.7109375" style="1" customWidth="1"/>
    <col min="8971" max="9213" width="9.140625" style="1"/>
    <col min="9214" max="9214" width="6.7109375" style="1" customWidth="1"/>
    <col min="9215" max="9215" width="41.5703125" style="1" customWidth="1"/>
    <col min="9216" max="9223" width="14.7109375" style="1" customWidth="1"/>
    <col min="9224" max="9224" width="16.7109375" style="1" customWidth="1"/>
    <col min="9225" max="9225" width="10.85546875" style="1" customWidth="1"/>
    <col min="9226" max="9226" width="9.7109375" style="1" customWidth="1"/>
    <col min="9227" max="9469" width="9.140625" style="1"/>
    <col min="9470" max="9470" width="6.7109375" style="1" customWidth="1"/>
    <col min="9471" max="9471" width="41.5703125" style="1" customWidth="1"/>
    <col min="9472" max="9479" width="14.7109375" style="1" customWidth="1"/>
    <col min="9480" max="9480" width="16.7109375" style="1" customWidth="1"/>
    <col min="9481" max="9481" width="10.85546875" style="1" customWidth="1"/>
    <col min="9482" max="9482" width="9.7109375" style="1" customWidth="1"/>
    <col min="9483" max="9725" width="9.140625" style="1"/>
    <col min="9726" max="9726" width="6.7109375" style="1" customWidth="1"/>
    <col min="9727" max="9727" width="41.5703125" style="1" customWidth="1"/>
    <col min="9728" max="9735" width="14.7109375" style="1" customWidth="1"/>
    <col min="9736" max="9736" width="16.7109375" style="1" customWidth="1"/>
    <col min="9737" max="9737" width="10.85546875" style="1" customWidth="1"/>
    <col min="9738" max="9738" width="9.7109375" style="1" customWidth="1"/>
    <col min="9739" max="9981" width="9.140625" style="1"/>
    <col min="9982" max="9982" width="6.7109375" style="1" customWidth="1"/>
    <col min="9983" max="9983" width="41.5703125" style="1" customWidth="1"/>
    <col min="9984" max="9991" width="14.7109375" style="1" customWidth="1"/>
    <col min="9992" max="9992" width="16.7109375" style="1" customWidth="1"/>
    <col min="9993" max="9993" width="10.85546875" style="1" customWidth="1"/>
    <col min="9994" max="9994" width="9.7109375" style="1" customWidth="1"/>
    <col min="9995" max="10237" width="9.140625" style="1"/>
    <col min="10238" max="10238" width="6.7109375" style="1" customWidth="1"/>
    <col min="10239" max="10239" width="41.5703125" style="1" customWidth="1"/>
    <col min="10240" max="10247" width="14.7109375" style="1" customWidth="1"/>
    <col min="10248" max="10248" width="16.7109375" style="1" customWidth="1"/>
    <col min="10249" max="10249" width="10.85546875" style="1" customWidth="1"/>
    <col min="10250" max="10250" width="9.7109375" style="1" customWidth="1"/>
    <col min="10251" max="10493" width="9.140625" style="1"/>
    <col min="10494" max="10494" width="6.7109375" style="1" customWidth="1"/>
    <col min="10495" max="10495" width="41.5703125" style="1" customWidth="1"/>
    <col min="10496" max="10503" width="14.7109375" style="1" customWidth="1"/>
    <col min="10504" max="10504" width="16.7109375" style="1" customWidth="1"/>
    <col min="10505" max="10505" width="10.85546875" style="1" customWidth="1"/>
    <col min="10506" max="10506" width="9.7109375" style="1" customWidth="1"/>
    <col min="10507" max="10749" width="9.140625" style="1"/>
    <col min="10750" max="10750" width="6.7109375" style="1" customWidth="1"/>
    <col min="10751" max="10751" width="41.5703125" style="1" customWidth="1"/>
    <col min="10752" max="10759" width="14.7109375" style="1" customWidth="1"/>
    <col min="10760" max="10760" width="16.7109375" style="1" customWidth="1"/>
    <col min="10761" max="10761" width="10.85546875" style="1" customWidth="1"/>
    <col min="10762" max="10762" width="9.7109375" style="1" customWidth="1"/>
    <col min="10763" max="11005" width="9.140625" style="1"/>
    <col min="11006" max="11006" width="6.7109375" style="1" customWidth="1"/>
    <col min="11007" max="11007" width="41.5703125" style="1" customWidth="1"/>
    <col min="11008" max="11015" width="14.7109375" style="1" customWidth="1"/>
    <col min="11016" max="11016" width="16.7109375" style="1" customWidth="1"/>
    <col min="11017" max="11017" width="10.85546875" style="1" customWidth="1"/>
    <col min="11018" max="11018" width="9.7109375" style="1" customWidth="1"/>
    <col min="11019" max="11261" width="9.140625" style="1"/>
    <col min="11262" max="11262" width="6.7109375" style="1" customWidth="1"/>
    <col min="11263" max="11263" width="41.5703125" style="1" customWidth="1"/>
    <col min="11264" max="11271" width="14.7109375" style="1" customWidth="1"/>
    <col min="11272" max="11272" width="16.7109375" style="1" customWidth="1"/>
    <col min="11273" max="11273" width="10.85546875" style="1" customWidth="1"/>
    <col min="11274" max="11274" width="9.7109375" style="1" customWidth="1"/>
    <col min="11275" max="11517" width="9.140625" style="1"/>
    <col min="11518" max="11518" width="6.7109375" style="1" customWidth="1"/>
    <col min="11519" max="11519" width="41.5703125" style="1" customWidth="1"/>
    <col min="11520" max="11527" width="14.7109375" style="1" customWidth="1"/>
    <col min="11528" max="11528" width="16.7109375" style="1" customWidth="1"/>
    <col min="11529" max="11529" width="10.85546875" style="1" customWidth="1"/>
    <col min="11530" max="11530" width="9.7109375" style="1" customWidth="1"/>
    <col min="11531" max="11773" width="9.140625" style="1"/>
    <col min="11774" max="11774" width="6.7109375" style="1" customWidth="1"/>
    <col min="11775" max="11775" width="41.5703125" style="1" customWidth="1"/>
    <col min="11776" max="11783" width="14.7109375" style="1" customWidth="1"/>
    <col min="11784" max="11784" width="16.7109375" style="1" customWidth="1"/>
    <col min="11785" max="11785" width="10.85546875" style="1" customWidth="1"/>
    <col min="11786" max="11786" width="9.7109375" style="1" customWidth="1"/>
    <col min="11787" max="12029" width="9.140625" style="1"/>
    <col min="12030" max="12030" width="6.7109375" style="1" customWidth="1"/>
    <col min="12031" max="12031" width="41.5703125" style="1" customWidth="1"/>
    <col min="12032" max="12039" width="14.7109375" style="1" customWidth="1"/>
    <col min="12040" max="12040" width="16.7109375" style="1" customWidth="1"/>
    <col min="12041" max="12041" width="10.85546875" style="1" customWidth="1"/>
    <col min="12042" max="12042" width="9.7109375" style="1" customWidth="1"/>
    <col min="12043" max="12285" width="9.140625" style="1"/>
    <col min="12286" max="12286" width="6.7109375" style="1" customWidth="1"/>
    <col min="12287" max="12287" width="41.5703125" style="1" customWidth="1"/>
    <col min="12288" max="12295" width="14.7109375" style="1" customWidth="1"/>
    <col min="12296" max="12296" width="16.7109375" style="1" customWidth="1"/>
    <col min="12297" max="12297" width="10.85546875" style="1" customWidth="1"/>
    <col min="12298" max="12298" width="9.7109375" style="1" customWidth="1"/>
    <col min="12299" max="12541" width="9.140625" style="1"/>
    <col min="12542" max="12542" width="6.7109375" style="1" customWidth="1"/>
    <col min="12543" max="12543" width="41.5703125" style="1" customWidth="1"/>
    <col min="12544" max="12551" width="14.7109375" style="1" customWidth="1"/>
    <col min="12552" max="12552" width="16.7109375" style="1" customWidth="1"/>
    <col min="12553" max="12553" width="10.85546875" style="1" customWidth="1"/>
    <col min="12554" max="12554" width="9.7109375" style="1" customWidth="1"/>
    <col min="12555" max="12797" width="9.140625" style="1"/>
    <col min="12798" max="12798" width="6.7109375" style="1" customWidth="1"/>
    <col min="12799" max="12799" width="41.5703125" style="1" customWidth="1"/>
    <col min="12800" max="12807" width="14.7109375" style="1" customWidth="1"/>
    <col min="12808" max="12808" width="16.7109375" style="1" customWidth="1"/>
    <col min="12809" max="12809" width="10.85546875" style="1" customWidth="1"/>
    <col min="12810" max="12810" width="9.7109375" style="1" customWidth="1"/>
    <col min="12811" max="13053" width="9.140625" style="1"/>
    <col min="13054" max="13054" width="6.7109375" style="1" customWidth="1"/>
    <col min="13055" max="13055" width="41.5703125" style="1" customWidth="1"/>
    <col min="13056" max="13063" width="14.7109375" style="1" customWidth="1"/>
    <col min="13064" max="13064" width="16.7109375" style="1" customWidth="1"/>
    <col min="13065" max="13065" width="10.85546875" style="1" customWidth="1"/>
    <col min="13066" max="13066" width="9.7109375" style="1" customWidth="1"/>
    <col min="13067" max="13309" width="9.140625" style="1"/>
    <col min="13310" max="13310" width="6.7109375" style="1" customWidth="1"/>
    <col min="13311" max="13311" width="41.5703125" style="1" customWidth="1"/>
    <col min="13312" max="13319" width="14.7109375" style="1" customWidth="1"/>
    <col min="13320" max="13320" width="16.7109375" style="1" customWidth="1"/>
    <col min="13321" max="13321" width="10.85546875" style="1" customWidth="1"/>
    <col min="13322" max="13322" width="9.7109375" style="1" customWidth="1"/>
    <col min="13323" max="13565" width="9.140625" style="1"/>
    <col min="13566" max="13566" width="6.7109375" style="1" customWidth="1"/>
    <col min="13567" max="13567" width="41.5703125" style="1" customWidth="1"/>
    <col min="13568" max="13575" width="14.7109375" style="1" customWidth="1"/>
    <col min="13576" max="13576" width="16.7109375" style="1" customWidth="1"/>
    <col min="13577" max="13577" width="10.85546875" style="1" customWidth="1"/>
    <col min="13578" max="13578" width="9.7109375" style="1" customWidth="1"/>
    <col min="13579" max="13821" width="9.140625" style="1"/>
    <col min="13822" max="13822" width="6.7109375" style="1" customWidth="1"/>
    <col min="13823" max="13823" width="41.5703125" style="1" customWidth="1"/>
    <col min="13824" max="13831" width="14.7109375" style="1" customWidth="1"/>
    <col min="13832" max="13832" width="16.7109375" style="1" customWidth="1"/>
    <col min="13833" max="13833" width="10.85546875" style="1" customWidth="1"/>
    <col min="13834" max="13834" width="9.7109375" style="1" customWidth="1"/>
    <col min="13835" max="14077" width="9.140625" style="1"/>
    <col min="14078" max="14078" width="6.7109375" style="1" customWidth="1"/>
    <col min="14079" max="14079" width="41.5703125" style="1" customWidth="1"/>
    <col min="14080" max="14087" width="14.7109375" style="1" customWidth="1"/>
    <col min="14088" max="14088" width="16.7109375" style="1" customWidth="1"/>
    <col min="14089" max="14089" width="10.85546875" style="1" customWidth="1"/>
    <col min="14090" max="14090" width="9.7109375" style="1" customWidth="1"/>
    <col min="14091" max="14333" width="9.140625" style="1"/>
    <col min="14334" max="14334" width="6.7109375" style="1" customWidth="1"/>
    <col min="14335" max="14335" width="41.5703125" style="1" customWidth="1"/>
    <col min="14336" max="14343" width="14.7109375" style="1" customWidth="1"/>
    <col min="14344" max="14344" width="16.7109375" style="1" customWidth="1"/>
    <col min="14345" max="14345" width="10.85546875" style="1" customWidth="1"/>
    <col min="14346" max="14346" width="9.7109375" style="1" customWidth="1"/>
    <col min="14347" max="14589" width="9.140625" style="1"/>
    <col min="14590" max="14590" width="6.7109375" style="1" customWidth="1"/>
    <col min="14591" max="14591" width="41.5703125" style="1" customWidth="1"/>
    <col min="14592" max="14599" width="14.7109375" style="1" customWidth="1"/>
    <col min="14600" max="14600" width="16.7109375" style="1" customWidth="1"/>
    <col min="14601" max="14601" width="10.85546875" style="1" customWidth="1"/>
    <col min="14602" max="14602" width="9.7109375" style="1" customWidth="1"/>
    <col min="14603" max="14845" width="9.140625" style="1"/>
    <col min="14846" max="14846" width="6.7109375" style="1" customWidth="1"/>
    <col min="14847" max="14847" width="41.5703125" style="1" customWidth="1"/>
    <col min="14848" max="14855" width="14.7109375" style="1" customWidth="1"/>
    <col min="14856" max="14856" width="16.7109375" style="1" customWidth="1"/>
    <col min="14857" max="14857" width="10.85546875" style="1" customWidth="1"/>
    <col min="14858" max="14858" width="9.7109375" style="1" customWidth="1"/>
    <col min="14859" max="15101" width="9.140625" style="1"/>
    <col min="15102" max="15102" width="6.7109375" style="1" customWidth="1"/>
    <col min="15103" max="15103" width="41.5703125" style="1" customWidth="1"/>
    <col min="15104" max="15111" width="14.7109375" style="1" customWidth="1"/>
    <col min="15112" max="15112" width="16.7109375" style="1" customWidth="1"/>
    <col min="15113" max="15113" width="10.85546875" style="1" customWidth="1"/>
    <col min="15114" max="15114" width="9.7109375" style="1" customWidth="1"/>
    <col min="15115" max="15357" width="9.140625" style="1"/>
    <col min="15358" max="15358" width="6.7109375" style="1" customWidth="1"/>
    <col min="15359" max="15359" width="41.5703125" style="1" customWidth="1"/>
    <col min="15360" max="15367" width="14.7109375" style="1" customWidth="1"/>
    <col min="15368" max="15368" width="16.7109375" style="1" customWidth="1"/>
    <col min="15369" max="15369" width="10.85546875" style="1" customWidth="1"/>
    <col min="15370" max="15370" width="9.7109375" style="1" customWidth="1"/>
    <col min="15371" max="15613" width="9.140625" style="1"/>
    <col min="15614" max="15614" width="6.7109375" style="1" customWidth="1"/>
    <col min="15615" max="15615" width="41.5703125" style="1" customWidth="1"/>
    <col min="15616" max="15623" width="14.7109375" style="1" customWidth="1"/>
    <col min="15624" max="15624" width="16.7109375" style="1" customWidth="1"/>
    <col min="15625" max="15625" width="10.85546875" style="1" customWidth="1"/>
    <col min="15626" max="15626" width="9.7109375" style="1" customWidth="1"/>
    <col min="15627" max="15869" width="9.140625" style="1"/>
    <col min="15870" max="15870" width="6.7109375" style="1" customWidth="1"/>
    <col min="15871" max="15871" width="41.5703125" style="1" customWidth="1"/>
    <col min="15872" max="15879" width="14.7109375" style="1" customWidth="1"/>
    <col min="15880" max="15880" width="16.7109375" style="1" customWidth="1"/>
    <col min="15881" max="15881" width="10.85546875" style="1" customWidth="1"/>
    <col min="15882" max="15882" width="9.7109375" style="1" customWidth="1"/>
    <col min="15883" max="16125" width="9.140625" style="1"/>
    <col min="16126" max="16126" width="6.7109375" style="1" customWidth="1"/>
    <col min="16127" max="16127" width="41.5703125" style="1" customWidth="1"/>
    <col min="16128" max="16135" width="14.7109375" style="1" customWidth="1"/>
    <col min="16136" max="16136" width="16.7109375" style="1" customWidth="1"/>
    <col min="16137" max="16137" width="10.85546875" style="1" customWidth="1"/>
    <col min="16138" max="16138" width="9.7109375" style="1" customWidth="1"/>
    <col min="16139" max="16384" width="9.140625" style="1"/>
  </cols>
  <sheetData>
    <row r="1" spans="1:19" ht="15" customHeight="1" x14ac:dyDescent="0.25">
      <c r="N1" s="6"/>
    </row>
    <row r="2" spans="1:19" ht="20.100000000000001" customHeight="1" x14ac:dyDescent="0.35">
      <c r="A2" s="1284" t="s">
        <v>570</v>
      </c>
      <c r="B2" s="1206"/>
      <c r="C2" s="1206"/>
      <c r="D2" s="1206"/>
      <c r="E2" s="1206"/>
      <c r="F2" s="1206"/>
      <c r="G2" s="1206"/>
      <c r="H2" s="1206"/>
      <c r="I2" s="1206"/>
      <c r="J2" s="1206"/>
      <c r="K2" s="1206"/>
      <c r="L2" s="1206"/>
      <c r="M2" s="1206"/>
      <c r="N2" s="1285"/>
    </row>
    <row r="3" spans="1:19" ht="15" customHeight="1" x14ac:dyDescent="0.2"/>
    <row r="4" spans="1:19" ht="20.100000000000001" customHeight="1" x14ac:dyDescent="0.3">
      <c r="A4" s="7" t="s">
        <v>284</v>
      </c>
      <c r="M4" s="8"/>
    </row>
    <row r="5" spans="1:19" ht="15" customHeight="1" thickBot="1" x14ac:dyDescent="0.35">
      <c r="A5" s="7"/>
      <c r="N5" s="8" t="s">
        <v>0</v>
      </c>
    </row>
    <row r="6" spans="1:19"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19" s="62" customFormat="1" ht="27.75"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19" s="9" customFormat="1" ht="20.100000000000001" customHeight="1" thickBot="1" x14ac:dyDescent="0.3">
      <c r="A8" s="19"/>
      <c r="B8" s="10" t="s">
        <v>104</v>
      </c>
      <c r="C8" s="10"/>
      <c r="D8" s="11"/>
      <c r="E8" s="12"/>
      <c r="F8" s="11"/>
      <c r="G8" s="271"/>
      <c r="H8" s="271"/>
      <c r="I8" s="13"/>
      <c r="J8" s="13"/>
      <c r="K8" s="13"/>
      <c r="L8" s="271"/>
      <c r="M8" s="16"/>
      <c r="N8" s="16"/>
    </row>
    <row r="9" spans="1:19" ht="30" customHeight="1" x14ac:dyDescent="0.2">
      <c r="A9" s="509">
        <v>2219</v>
      </c>
      <c r="B9" s="1425" t="s">
        <v>314</v>
      </c>
      <c r="C9" s="1426"/>
      <c r="D9" s="453">
        <v>505</v>
      </c>
      <c r="E9" s="454">
        <v>142.69</v>
      </c>
      <c r="F9" s="515">
        <v>542</v>
      </c>
      <c r="G9" s="456">
        <v>542</v>
      </c>
      <c r="H9" s="578">
        <v>315.19</v>
      </c>
      <c r="I9" s="453">
        <v>965</v>
      </c>
      <c r="J9" s="540">
        <v>55</v>
      </c>
      <c r="K9" s="1063">
        <v>27</v>
      </c>
      <c r="L9" s="904">
        <f>SUM(I9:K9)</f>
        <v>1047</v>
      </c>
      <c r="M9" s="458">
        <f>L9/F9*100</f>
        <v>193.17343173431735</v>
      </c>
      <c r="N9" s="459">
        <f t="shared" ref="N9:N14" si="0">L9/G9*100</f>
        <v>193.17343173431735</v>
      </c>
      <c r="O9" s="66"/>
      <c r="P9" s="66"/>
      <c r="Q9" s="66"/>
      <c r="R9" s="66"/>
      <c r="S9" s="66"/>
    </row>
    <row r="10" spans="1:19" ht="20.100000000000001" customHeight="1" x14ac:dyDescent="0.2">
      <c r="A10" s="668">
        <v>2219</v>
      </c>
      <c r="B10" s="1427" t="s">
        <v>519</v>
      </c>
      <c r="C10" s="1428"/>
      <c r="D10" s="462">
        <v>0</v>
      </c>
      <c r="E10" s="463">
        <v>0</v>
      </c>
      <c r="F10" s="593">
        <v>0</v>
      </c>
      <c r="G10" s="466">
        <v>0</v>
      </c>
      <c r="H10" s="692">
        <v>0</v>
      </c>
      <c r="I10" s="462">
        <v>26</v>
      </c>
      <c r="J10" s="464">
        <v>3</v>
      </c>
      <c r="K10" s="1064">
        <v>1</v>
      </c>
      <c r="L10" s="1065">
        <f t="shared" ref="L10" si="1">SUM(I10:K10)</f>
        <v>30</v>
      </c>
      <c r="M10" s="476" t="s">
        <v>60</v>
      </c>
      <c r="N10" s="477" t="s">
        <v>60</v>
      </c>
      <c r="O10" s="66"/>
      <c r="P10" s="66"/>
      <c r="Q10" s="66"/>
      <c r="R10" s="66"/>
      <c r="S10" s="66"/>
    </row>
    <row r="11" spans="1:19" s="63" customFormat="1" ht="30" customHeight="1" x14ac:dyDescent="0.2">
      <c r="A11" s="507">
        <v>2239</v>
      </c>
      <c r="B11" s="1427" t="s">
        <v>226</v>
      </c>
      <c r="C11" s="1428"/>
      <c r="D11" s="471">
        <v>1570</v>
      </c>
      <c r="E11" s="472">
        <v>1570</v>
      </c>
      <c r="F11" s="517">
        <v>1740</v>
      </c>
      <c r="G11" s="474">
        <v>1740</v>
      </c>
      <c r="H11" s="579">
        <v>0</v>
      </c>
      <c r="I11" s="471">
        <v>1649</v>
      </c>
      <c r="J11" s="543">
        <v>194</v>
      </c>
      <c r="K11" s="1068">
        <v>97</v>
      </c>
      <c r="L11" s="1065">
        <f t="shared" ref="L11:L20" si="2">SUM(I11:K11)</f>
        <v>1940</v>
      </c>
      <c r="M11" s="476">
        <f t="shared" ref="M11:M17" si="3">L11/F11*100</f>
        <v>111.49425287356323</v>
      </c>
      <c r="N11" s="477">
        <f t="shared" si="0"/>
        <v>111.49425287356323</v>
      </c>
    </row>
    <row r="12" spans="1:19" s="63" customFormat="1" ht="30" customHeight="1" x14ac:dyDescent="0.2">
      <c r="A12" s="1310">
        <v>2292</v>
      </c>
      <c r="B12" s="1432" t="s">
        <v>386</v>
      </c>
      <c r="C12" s="1433"/>
      <c r="D12" s="471">
        <f t="shared" ref="D12:K12" si="4">SUM(D13:D21)</f>
        <v>90000</v>
      </c>
      <c r="E12" s="472">
        <f t="shared" si="4"/>
        <v>108233</v>
      </c>
      <c r="F12" s="517">
        <f t="shared" si="4"/>
        <v>145961</v>
      </c>
      <c r="G12" s="474">
        <f t="shared" si="4"/>
        <v>145961</v>
      </c>
      <c r="H12" s="579">
        <f t="shared" si="4"/>
        <v>94025</v>
      </c>
      <c r="I12" s="471">
        <f t="shared" si="4"/>
        <v>136897</v>
      </c>
      <c r="J12" s="543">
        <f t="shared" si="4"/>
        <v>16106</v>
      </c>
      <c r="K12" s="1068">
        <f t="shared" si="4"/>
        <v>8051</v>
      </c>
      <c r="L12" s="1065">
        <f>SUM(I12:K12)</f>
        <v>161054</v>
      </c>
      <c r="M12" s="476">
        <f t="shared" si="3"/>
        <v>110.3404334034434</v>
      </c>
      <c r="N12" s="477">
        <f t="shared" si="0"/>
        <v>110.3404334034434</v>
      </c>
    </row>
    <row r="13" spans="1:19" s="63" customFormat="1" ht="15" customHeight="1" x14ac:dyDescent="0.2">
      <c r="A13" s="1311"/>
      <c r="B13" s="1330" t="s">
        <v>96</v>
      </c>
      <c r="C13" s="594" t="s">
        <v>138</v>
      </c>
      <c r="D13" s="80">
        <v>9228</v>
      </c>
      <c r="E13" s="98">
        <v>9228</v>
      </c>
      <c r="F13" s="94">
        <v>14215</v>
      </c>
      <c r="G13" s="81">
        <v>12665</v>
      </c>
      <c r="H13" s="126">
        <v>9547.5</v>
      </c>
      <c r="I13" s="80">
        <v>12983</v>
      </c>
      <c r="J13" s="1069">
        <v>1528</v>
      </c>
      <c r="K13" s="1070">
        <v>763</v>
      </c>
      <c r="L13" s="1071">
        <f t="shared" si="2"/>
        <v>15274</v>
      </c>
      <c r="M13" s="78">
        <f t="shared" si="3"/>
        <v>107.44987689060852</v>
      </c>
      <c r="N13" s="79">
        <f t="shared" si="0"/>
        <v>120.60007895775759</v>
      </c>
    </row>
    <row r="14" spans="1:19" s="63" customFormat="1" ht="15" customHeight="1" x14ac:dyDescent="0.2">
      <c r="A14" s="1311"/>
      <c r="B14" s="1331"/>
      <c r="C14" s="594" t="s">
        <v>401</v>
      </c>
      <c r="D14" s="74">
        <v>52122</v>
      </c>
      <c r="E14" s="99">
        <v>55355</v>
      </c>
      <c r="F14" s="91">
        <v>61821</v>
      </c>
      <c r="G14" s="76">
        <v>61821</v>
      </c>
      <c r="H14" s="430">
        <v>46440</v>
      </c>
      <c r="I14" s="74">
        <v>59500</v>
      </c>
      <c r="J14" s="346">
        <v>7000</v>
      </c>
      <c r="K14" s="1072">
        <v>3500</v>
      </c>
      <c r="L14" s="1071">
        <f t="shared" si="2"/>
        <v>70000</v>
      </c>
      <c r="M14" s="78">
        <f t="shared" si="3"/>
        <v>113.23013215573997</v>
      </c>
      <c r="N14" s="79">
        <f t="shared" si="0"/>
        <v>113.23013215573997</v>
      </c>
    </row>
    <row r="15" spans="1:19" s="63" customFormat="1" ht="15" customHeight="1" x14ac:dyDescent="0.2">
      <c r="A15" s="1311"/>
      <c r="B15" s="1331"/>
      <c r="C15" s="594" t="s">
        <v>139</v>
      </c>
      <c r="D15" s="74">
        <v>150</v>
      </c>
      <c r="E15" s="99">
        <v>150</v>
      </c>
      <c r="F15" s="91">
        <v>425</v>
      </c>
      <c r="G15" s="76">
        <v>425</v>
      </c>
      <c r="H15" s="430">
        <v>425</v>
      </c>
      <c r="I15" s="74">
        <v>366</v>
      </c>
      <c r="J15" s="346">
        <v>43</v>
      </c>
      <c r="K15" s="1072">
        <v>21</v>
      </c>
      <c r="L15" s="1071">
        <f t="shared" si="2"/>
        <v>430</v>
      </c>
      <c r="M15" s="78">
        <f t="shared" si="3"/>
        <v>101.17647058823529</v>
      </c>
      <c r="N15" s="79">
        <f t="shared" ref="N15" si="5">L15/G15*100</f>
        <v>101.17647058823529</v>
      </c>
    </row>
    <row r="16" spans="1:19" s="63" customFormat="1" ht="15" customHeight="1" x14ac:dyDescent="0.2">
      <c r="A16" s="1311"/>
      <c r="B16" s="1331"/>
      <c r="C16" s="594" t="s">
        <v>520</v>
      </c>
      <c r="D16" s="1004" t="s">
        <v>60</v>
      </c>
      <c r="E16" s="77" t="s">
        <v>60</v>
      </c>
      <c r="F16" s="1005" t="s">
        <v>60</v>
      </c>
      <c r="G16" s="76">
        <v>1550</v>
      </c>
      <c r="H16" s="430">
        <v>1162.5</v>
      </c>
      <c r="I16" s="74">
        <v>1318</v>
      </c>
      <c r="J16" s="346">
        <v>155</v>
      </c>
      <c r="K16" s="1072">
        <v>77</v>
      </c>
      <c r="L16" s="1071">
        <f t="shared" ref="L16" si="6">SUM(I16:K16)</f>
        <v>1550</v>
      </c>
      <c r="M16" s="78" t="s">
        <v>60</v>
      </c>
      <c r="N16" s="79">
        <f t="shared" ref="N16" si="7">L16/G16*100</f>
        <v>100</v>
      </c>
    </row>
    <row r="17" spans="1:15" s="63" customFormat="1" ht="15" customHeight="1" x14ac:dyDescent="0.2">
      <c r="A17" s="1311"/>
      <c r="B17" s="1331"/>
      <c r="C17" s="368" t="s">
        <v>494</v>
      </c>
      <c r="D17" s="74">
        <v>0</v>
      </c>
      <c r="E17" s="99">
        <v>15000</v>
      </c>
      <c r="F17" s="91">
        <v>20000</v>
      </c>
      <c r="G17" s="76">
        <v>20000</v>
      </c>
      <c r="H17" s="430">
        <v>15030</v>
      </c>
      <c r="I17" s="74">
        <v>17000</v>
      </c>
      <c r="J17" s="346">
        <v>2000</v>
      </c>
      <c r="K17" s="1072">
        <v>1000</v>
      </c>
      <c r="L17" s="1071">
        <f t="shared" si="2"/>
        <v>20000</v>
      </c>
      <c r="M17" s="78">
        <f t="shared" si="3"/>
        <v>100</v>
      </c>
      <c r="N17" s="79">
        <f t="shared" ref="N17:N20" si="8">L17/G17*100</f>
        <v>100</v>
      </c>
    </row>
    <row r="18" spans="1:15" s="63" customFormat="1" ht="15" customHeight="1" x14ac:dyDescent="0.2">
      <c r="A18" s="1311"/>
      <c r="B18" s="1331"/>
      <c r="C18" s="368" t="s">
        <v>521</v>
      </c>
      <c r="D18" s="74">
        <v>0</v>
      </c>
      <c r="E18" s="99">
        <v>0</v>
      </c>
      <c r="F18" s="91">
        <v>0</v>
      </c>
      <c r="G18" s="76">
        <v>0</v>
      </c>
      <c r="H18" s="430">
        <v>0</v>
      </c>
      <c r="I18" s="74">
        <v>3655</v>
      </c>
      <c r="J18" s="346">
        <v>430</v>
      </c>
      <c r="K18" s="1072">
        <v>215</v>
      </c>
      <c r="L18" s="1071">
        <f t="shared" si="2"/>
        <v>4300</v>
      </c>
      <c r="M18" s="78" t="s">
        <v>60</v>
      </c>
      <c r="N18" s="79" t="s">
        <v>60</v>
      </c>
    </row>
    <row r="19" spans="1:15" s="63" customFormat="1" ht="15" customHeight="1" x14ac:dyDescent="0.2">
      <c r="A19" s="1311"/>
      <c r="B19" s="1331"/>
      <c r="C19" s="594" t="s">
        <v>446</v>
      </c>
      <c r="D19" s="74">
        <v>0</v>
      </c>
      <c r="E19" s="99">
        <v>0</v>
      </c>
      <c r="F19" s="91">
        <v>7000</v>
      </c>
      <c r="G19" s="76">
        <v>7000</v>
      </c>
      <c r="H19" s="430">
        <v>0</v>
      </c>
      <c r="I19" s="74">
        <v>5950</v>
      </c>
      <c r="J19" s="346">
        <v>700</v>
      </c>
      <c r="K19" s="1072">
        <v>350</v>
      </c>
      <c r="L19" s="1071">
        <f t="shared" si="2"/>
        <v>7000</v>
      </c>
      <c r="M19" s="78">
        <f t="shared" ref="M19:M20" si="9">L19/F19*100</f>
        <v>100</v>
      </c>
      <c r="N19" s="79">
        <f t="shared" si="8"/>
        <v>100</v>
      </c>
    </row>
    <row r="20" spans="1:15" s="63" customFormat="1" ht="15" customHeight="1" x14ac:dyDescent="0.2">
      <c r="A20" s="1311"/>
      <c r="B20" s="1331"/>
      <c r="C20" s="594" t="s">
        <v>448</v>
      </c>
      <c r="D20" s="74">
        <v>0</v>
      </c>
      <c r="E20" s="99">
        <v>0</v>
      </c>
      <c r="F20" s="91">
        <v>14000</v>
      </c>
      <c r="G20" s="76">
        <v>14000</v>
      </c>
      <c r="H20" s="430">
        <v>0</v>
      </c>
      <c r="I20" s="74">
        <v>11900</v>
      </c>
      <c r="J20" s="346">
        <v>1400</v>
      </c>
      <c r="K20" s="1072">
        <v>700</v>
      </c>
      <c r="L20" s="1071">
        <f t="shared" si="2"/>
        <v>14000</v>
      </c>
      <c r="M20" s="78">
        <f t="shared" si="9"/>
        <v>100</v>
      </c>
      <c r="N20" s="79">
        <f t="shared" si="8"/>
        <v>100</v>
      </c>
    </row>
    <row r="21" spans="1:15" s="63" customFormat="1" ht="15" customHeight="1" x14ac:dyDescent="0.2">
      <c r="A21" s="1315"/>
      <c r="B21" s="1332"/>
      <c r="C21" s="594" t="s">
        <v>249</v>
      </c>
      <c r="D21" s="74">
        <v>28500</v>
      </c>
      <c r="E21" s="99">
        <v>28500</v>
      </c>
      <c r="F21" s="91">
        <v>28500</v>
      </c>
      <c r="G21" s="76">
        <v>28500</v>
      </c>
      <c r="H21" s="430">
        <v>21420</v>
      </c>
      <c r="I21" s="74">
        <v>24225</v>
      </c>
      <c r="J21" s="346">
        <v>2850</v>
      </c>
      <c r="K21" s="1072">
        <v>1425</v>
      </c>
      <c r="L21" s="1071">
        <f>SUM(I21:K21)</f>
        <v>28500</v>
      </c>
      <c r="M21" s="78">
        <f>L21/F21*100</f>
        <v>100</v>
      </c>
      <c r="N21" s="79">
        <f>L21/G21*100</f>
        <v>100</v>
      </c>
    </row>
    <row r="22" spans="1:15" s="63" customFormat="1" ht="20.100000000000001" customHeight="1" x14ac:dyDescent="0.2">
      <c r="A22" s="1429">
        <v>2292</v>
      </c>
      <c r="B22" s="1422" t="s">
        <v>308</v>
      </c>
      <c r="C22" s="1423"/>
      <c r="D22" s="471">
        <f t="shared" ref="D22:K22" si="10">SUM(D23:D26)</f>
        <v>1561020</v>
      </c>
      <c r="E22" s="472">
        <f t="shared" si="10"/>
        <v>2124602.9500000002</v>
      </c>
      <c r="F22" s="517">
        <f t="shared" si="10"/>
        <v>1865099</v>
      </c>
      <c r="G22" s="474">
        <f t="shared" si="10"/>
        <v>2257558.42</v>
      </c>
      <c r="H22" s="579">
        <f t="shared" si="10"/>
        <v>1695226.72</v>
      </c>
      <c r="I22" s="471">
        <f t="shared" si="10"/>
        <v>2175395</v>
      </c>
      <c r="J22" s="543">
        <f t="shared" si="10"/>
        <v>255929</v>
      </c>
      <c r="K22" s="1068">
        <f t="shared" si="10"/>
        <v>127964</v>
      </c>
      <c r="L22" s="1065">
        <f>SUM(I22:K22)</f>
        <v>2559288</v>
      </c>
      <c r="M22" s="476">
        <f t="shared" ref="M22:M31" si="11">L22/F22*100</f>
        <v>137.2199545439679</v>
      </c>
      <c r="N22" s="477">
        <f t="shared" ref="N22:N31" si="12">L22/G22*100</f>
        <v>113.36530551444157</v>
      </c>
      <c r="O22" s="96"/>
    </row>
    <row r="23" spans="1:15" s="63" customFormat="1" ht="27" customHeight="1" x14ac:dyDescent="0.2">
      <c r="A23" s="1430"/>
      <c r="B23" s="1323" t="s">
        <v>96</v>
      </c>
      <c r="C23" s="681" t="s">
        <v>471</v>
      </c>
      <c r="D23" s="74">
        <v>1525020</v>
      </c>
      <c r="E23" s="99">
        <v>1866971.34</v>
      </c>
      <c r="F23" s="91">
        <v>1609099</v>
      </c>
      <c r="G23" s="76">
        <v>1997075.09</v>
      </c>
      <c r="H23" s="430">
        <v>1537676.1</v>
      </c>
      <c r="I23" s="74">
        <v>1895819</v>
      </c>
      <c r="J23" s="346">
        <v>223038</v>
      </c>
      <c r="K23" s="1072">
        <v>111518</v>
      </c>
      <c r="L23" s="1071">
        <f t="shared" ref="L23:L26" si="13">SUM(I23:K23)</f>
        <v>2230375</v>
      </c>
      <c r="M23" s="78">
        <f t="shared" si="11"/>
        <v>138.6101787397792</v>
      </c>
      <c r="N23" s="79">
        <f t="shared" si="12"/>
        <v>111.68208001633029</v>
      </c>
      <c r="O23" s="96"/>
    </row>
    <row r="24" spans="1:15" s="63" customFormat="1" ht="27" customHeight="1" x14ac:dyDescent="0.2">
      <c r="A24" s="1430"/>
      <c r="B24" s="1424"/>
      <c r="C24" s="681" t="s">
        <v>472</v>
      </c>
      <c r="D24" s="74">
        <v>0</v>
      </c>
      <c r="E24" s="99">
        <v>224131.42</v>
      </c>
      <c r="F24" s="91">
        <v>220000</v>
      </c>
      <c r="G24" s="76">
        <v>220000</v>
      </c>
      <c r="H24" s="430">
        <v>131000.7</v>
      </c>
      <c r="I24" s="74">
        <v>187000</v>
      </c>
      <c r="J24" s="346">
        <v>22000</v>
      </c>
      <c r="K24" s="1072">
        <v>11000</v>
      </c>
      <c r="L24" s="1071">
        <f t="shared" ref="L24" si="14">SUM(I24:K24)</f>
        <v>220000</v>
      </c>
      <c r="M24" s="78">
        <f t="shared" si="11"/>
        <v>100</v>
      </c>
      <c r="N24" s="79">
        <f t="shared" si="12"/>
        <v>100</v>
      </c>
      <c r="O24" s="96"/>
    </row>
    <row r="25" spans="1:15" s="63" customFormat="1" ht="27" customHeight="1" x14ac:dyDescent="0.2">
      <c r="A25" s="1430"/>
      <c r="B25" s="1424"/>
      <c r="C25" s="681" t="s">
        <v>522</v>
      </c>
      <c r="D25" s="74">
        <v>0</v>
      </c>
      <c r="E25" s="99">
        <v>1870.07</v>
      </c>
      <c r="F25" s="91">
        <v>0</v>
      </c>
      <c r="G25" s="76">
        <v>0</v>
      </c>
      <c r="H25" s="430">
        <v>0</v>
      </c>
      <c r="I25" s="74">
        <v>67076</v>
      </c>
      <c r="J25" s="346">
        <v>7891</v>
      </c>
      <c r="K25" s="1072">
        <v>3946</v>
      </c>
      <c r="L25" s="1071">
        <f t="shared" ref="L25" si="15">SUM(I25:K25)</f>
        <v>78913</v>
      </c>
      <c r="M25" s="78" t="s">
        <v>60</v>
      </c>
      <c r="N25" s="79" t="s">
        <v>60</v>
      </c>
      <c r="O25" s="96"/>
    </row>
    <row r="26" spans="1:15" s="63" customFormat="1" ht="15" customHeight="1" x14ac:dyDescent="0.2">
      <c r="A26" s="1431"/>
      <c r="B26" s="1324"/>
      <c r="C26" s="594" t="s">
        <v>444</v>
      </c>
      <c r="D26" s="74">
        <v>36000</v>
      </c>
      <c r="E26" s="99">
        <v>31630.12</v>
      </c>
      <c r="F26" s="91">
        <v>36000</v>
      </c>
      <c r="G26" s="76">
        <v>40483.33</v>
      </c>
      <c r="H26" s="430">
        <v>26549.919999999998</v>
      </c>
      <c r="I26" s="74">
        <v>25500</v>
      </c>
      <c r="J26" s="346">
        <v>3000</v>
      </c>
      <c r="K26" s="1072">
        <v>1500</v>
      </c>
      <c r="L26" s="1071">
        <f t="shared" si="13"/>
        <v>30000</v>
      </c>
      <c r="M26" s="78">
        <f t="shared" si="11"/>
        <v>83.333333333333343</v>
      </c>
      <c r="N26" s="79">
        <f t="shared" si="12"/>
        <v>74.104575883456221</v>
      </c>
    </row>
    <row r="27" spans="1:15" s="63" customFormat="1" ht="20.100000000000001" customHeight="1" x14ac:dyDescent="0.2">
      <c r="A27" s="1429">
        <v>2294</v>
      </c>
      <c r="B27" s="1422" t="s">
        <v>309</v>
      </c>
      <c r="C27" s="1423"/>
      <c r="D27" s="494">
        <f t="shared" ref="D27:K27" si="16">SUM(D28:D30)</f>
        <v>1896023</v>
      </c>
      <c r="E27" s="518">
        <f t="shared" si="16"/>
        <v>2119585.89</v>
      </c>
      <c r="F27" s="519">
        <f t="shared" si="16"/>
        <v>2072052</v>
      </c>
      <c r="G27" s="496">
        <f t="shared" si="16"/>
        <v>2391078.12</v>
      </c>
      <c r="H27" s="580">
        <f t="shared" si="16"/>
        <v>2069430.17</v>
      </c>
      <c r="I27" s="494">
        <f t="shared" si="16"/>
        <v>2212888</v>
      </c>
      <c r="J27" s="545">
        <f t="shared" si="16"/>
        <v>260339</v>
      </c>
      <c r="K27" s="1073">
        <f t="shared" si="16"/>
        <v>130170</v>
      </c>
      <c r="L27" s="1065">
        <f t="shared" ref="L27:L29" si="17">SUM(I27:K27)</f>
        <v>2603397</v>
      </c>
      <c r="M27" s="476">
        <f t="shared" si="11"/>
        <v>125.64342014582645</v>
      </c>
      <c r="N27" s="477">
        <f t="shared" si="12"/>
        <v>108.87962957897837</v>
      </c>
      <c r="O27" s="96"/>
    </row>
    <row r="28" spans="1:15" s="63" customFormat="1" ht="27" customHeight="1" x14ac:dyDescent="0.2">
      <c r="A28" s="1430"/>
      <c r="B28" s="1323" t="s">
        <v>96</v>
      </c>
      <c r="C28" s="681" t="s">
        <v>473</v>
      </c>
      <c r="D28" s="74">
        <v>1896023</v>
      </c>
      <c r="E28" s="99">
        <v>1962664.46</v>
      </c>
      <c r="F28" s="91">
        <v>2022052</v>
      </c>
      <c r="G28" s="76">
        <v>2341078.12</v>
      </c>
      <c r="H28" s="430">
        <v>2042430.17</v>
      </c>
      <c r="I28" s="74">
        <v>1953734</v>
      </c>
      <c r="J28" s="346">
        <v>229851</v>
      </c>
      <c r="K28" s="1072">
        <v>114926</v>
      </c>
      <c r="L28" s="1071">
        <f t="shared" si="17"/>
        <v>2298511</v>
      </c>
      <c r="M28" s="78">
        <f t="shared" si="11"/>
        <v>113.67220031927963</v>
      </c>
      <c r="N28" s="79">
        <f t="shared" si="12"/>
        <v>98.181730048376167</v>
      </c>
      <c r="O28" s="96"/>
    </row>
    <row r="29" spans="1:15" s="63" customFormat="1" ht="27" customHeight="1" x14ac:dyDescent="0.2">
      <c r="A29" s="1430"/>
      <c r="B29" s="1424"/>
      <c r="C29" s="681" t="s">
        <v>474</v>
      </c>
      <c r="D29" s="74">
        <v>0</v>
      </c>
      <c r="E29" s="99">
        <v>36702.54</v>
      </c>
      <c r="F29" s="91">
        <v>50000</v>
      </c>
      <c r="G29" s="76">
        <v>50000</v>
      </c>
      <c r="H29" s="430">
        <v>27000</v>
      </c>
      <c r="I29" s="74">
        <v>45050</v>
      </c>
      <c r="J29" s="346">
        <v>5300</v>
      </c>
      <c r="K29" s="1072">
        <v>2650</v>
      </c>
      <c r="L29" s="1071">
        <f t="shared" si="17"/>
        <v>53000</v>
      </c>
      <c r="M29" s="78">
        <f t="shared" si="11"/>
        <v>106</v>
      </c>
      <c r="N29" s="79">
        <f t="shared" si="12"/>
        <v>106</v>
      </c>
      <c r="O29" s="96"/>
    </row>
    <row r="30" spans="1:15" s="63" customFormat="1" ht="27" customHeight="1" x14ac:dyDescent="0.2">
      <c r="A30" s="1430"/>
      <c r="B30" s="1424"/>
      <c r="C30" s="681" t="s">
        <v>523</v>
      </c>
      <c r="D30" s="74">
        <v>0</v>
      </c>
      <c r="E30" s="99">
        <v>120218.89</v>
      </c>
      <c r="F30" s="91">
        <v>0</v>
      </c>
      <c r="G30" s="76">
        <v>0</v>
      </c>
      <c r="H30" s="430">
        <v>0</v>
      </c>
      <c r="I30" s="74">
        <v>214104</v>
      </c>
      <c r="J30" s="346">
        <v>25188</v>
      </c>
      <c r="K30" s="1072">
        <v>12594</v>
      </c>
      <c r="L30" s="1071">
        <f t="shared" ref="L30" si="18">SUM(I30:K30)</f>
        <v>251886</v>
      </c>
      <c r="M30" s="793" t="s">
        <v>60</v>
      </c>
      <c r="N30" s="79" t="s">
        <v>60</v>
      </c>
      <c r="O30" s="96"/>
    </row>
    <row r="31" spans="1:15" s="63" customFormat="1" ht="20.100000000000001" customHeight="1" x14ac:dyDescent="0.2">
      <c r="A31" s="584">
        <v>2299</v>
      </c>
      <c r="B31" s="1422" t="s">
        <v>404</v>
      </c>
      <c r="C31" s="1423"/>
      <c r="D31" s="494">
        <v>0</v>
      </c>
      <c r="E31" s="518">
        <v>0</v>
      </c>
      <c r="F31" s="519">
        <v>6655</v>
      </c>
      <c r="G31" s="496">
        <v>6655</v>
      </c>
      <c r="H31" s="580">
        <v>0</v>
      </c>
      <c r="I31" s="494">
        <v>0</v>
      </c>
      <c r="J31" s="545">
        <v>0</v>
      </c>
      <c r="K31" s="1073">
        <v>0</v>
      </c>
      <c r="L31" s="1065">
        <f t="shared" ref="L31:L35" si="19">SUM(I31:K31)</f>
        <v>0</v>
      </c>
      <c r="M31" s="476">
        <f t="shared" si="11"/>
        <v>0</v>
      </c>
      <c r="N31" s="477">
        <f t="shared" si="12"/>
        <v>0</v>
      </c>
    </row>
    <row r="32" spans="1:15" s="63" customFormat="1" ht="20.100000000000001" customHeight="1" x14ac:dyDescent="0.2">
      <c r="A32" s="584">
        <v>2299</v>
      </c>
      <c r="B32" s="1422" t="s">
        <v>114</v>
      </c>
      <c r="C32" s="1423"/>
      <c r="D32" s="494">
        <v>3737</v>
      </c>
      <c r="E32" s="518">
        <v>696.78</v>
      </c>
      <c r="F32" s="519">
        <v>4138</v>
      </c>
      <c r="G32" s="496">
        <v>3848.87</v>
      </c>
      <c r="H32" s="580">
        <v>170.72</v>
      </c>
      <c r="I32" s="494">
        <v>3018</v>
      </c>
      <c r="J32" s="545">
        <v>413</v>
      </c>
      <c r="K32" s="1073">
        <v>207</v>
      </c>
      <c r="L32" s="1065">
        <f t="shared" si="19"/>
        <v>3638</v>
      </c>
      <c r="M32" s="476">
        <f t="shared" ref="M32" si="20">L32/F32*100</f>
        <v>87.916868052199121</v>
      </c>
      <c r="N32" s="477">
        <f t="shared" ref="N32" si="21">L32/G32*100</f>
        <v>94.521249093889907</v>
      </c>
    </row>
    <row r="33" spans="1:15" s="63" customFormat="1" ht="20.100000000000001" customHeight="1" x14ac:dyDescent="0.2">
      <c r="A33" s="584">
        <v>6172</v>
      </c>
      <c r="B33" s="1422" t="s">
        <v>105</v>
      </c>
      <c r="C33" s="1423"/>
      <c r="D33" s="471">
        <v>182</v>
      </c>
      <c r="E33" s="472">
        <v>68.56</v>
      </c>
      <c r="F33" s="517">
        <v>182</v>
      </c>
      <c r="G33" s="474">
        <v>182</v>
      </c>
      <c r="H33" s="579">
        <v>76.459999999999994</v>
      </c>
      <c r="I33" s="471">
        <v>170</v>
      </c>
      <c r="J33" s="543">
        <v>20</v>
      </c>
      <c r="K33" s="1068">
        <v>10</v>
      </c>
      <c r="L33" s="1065">
        <f t="shared" si="19"/>
        <v>200</v>
      </c>
      <c r="M33" s="476">
        <f t="shared" ref="M33" si="22">L33/F33*100</f>
        <v>109.8901098901099</v>
      </c>
      <c r="N33" s="477">
        <f t="shared" ref="N33" si="23">L33/G33*100</f>
        <v>109.8901098901099</v>
      </c>
    </row>
    <row r="34" spans="1:15" s="63" customFormat="1" ht="30" customHeight="1" x14ac:dyDescent="0.2">
      <c r="A34" s="584">
        <v>6221</v>
      </c>
      <c r="B34" s="1427" t="s">
        <v>436</v>
      </c>
      <c r="C34" s="1428"/>
      <c r="D34" s="471">
        <v>0</v>
      </c>
      <c r="E34" s="472">
        <v>5000</v>
      </c>
      <c r="F34" s="517">
        <v>0</v>
      </c>
      <c r="G34" s="474">
        <v>0</v>
      </c>
      <c r="H34" s="579">
        <v>0</v>
      </c>
      <c r="I34" s="471">
        <v>0</v>
      </c>
      <c r="J34" s="543">
        <v>0</v>
      </c>
      <c r="K34" s="1068">
        <v>0</v>
      </c>
      <c r="L34" s="1065">
        <f t="shared" si="19"/>
        <v>0</v>
      </c>
      <c r="M34" s="476" t="s">
        <v>60</v>
      </c>
      <c r="N34" s="477" t="s">
        <v>60</v>
      </c>
    </row>
    <row r="35" spans="1:15" s="63" customFormat="1" ht="20.100000000000001" customHeight="1" thickBot="1" x14ac:dyDescent="0.25">
      <c r="A35" s="584">
        <v>6409</v>
      </c>
      <c r="B35" s="1422" t="s">
        <v>151</v>
      </c>
      <c r="C35" s="1423"/>
      <c r="D35" s="824">
        <v>0</v>
      </c>
      <c r="E35" s="827">
        <v>87.4</v>
      </c>
      <c r="F35" s="825">
        <v>0</v>
      </c>
      <c r="G35" s="826">
        <v>0</v>
      </c>
      <c r="H35" s="828">
        <v>0</v>
      </c>
      <c r="I35" s="824">
        <v>0</v>
      </c>
      <c r="J35" s="1074">
        <v>0</v>
      </c>
      <c r="K35" s="1075">
        <v>0</v>
      </c>
      <c r="L35" s="1076">
        <f t="shared" si="19"/>
        <v>0</v>
      </c>
      <c r="M35" s="476" t="s">
        <v>60</v>
      </c>
      <c r="N35" s="477" t="s">
        <v>60</v>
      </c>
    </row>
    <row r="36" spans="1:15" s="19" customFormat="1" ht="16.5" thickBot="1" x14ac:dyDescent="0.3">
      <c r="A36" s="206"/>
      <c r="B36" s="417" t="s">
        <v>85</v>
      </c>
      <c r="C36" s="418"/>
      <c r="D36" s="183">
        <f>+D9+D11+D12+D22+D27+SUM(D31:D35)</f>
        <v>3553037</v>
      </c>
      <c r="E36" s="196">
        <f>+E9+E11+E12+E22+E27+SUM(E31:E35)</f>
        <v>4359987.2700000005</v>
      </c>
      <c r="F36" s="183">
        <f>+F9+F11+F12+F22+F27+SUM(F31:F35)</f>
        <v>4096369</v>
      </c>
      <c r="G36" s="185">
        <f t="shared" ref="G36:L36" si="24">SUM(G9:G12)+G22+G27+SUM(G31:G35)</f>
        <v>4807565.41</v>
      </c>
      <c r="H36" s="184">
        <f t="shared" si="24"/>
        <v>3859244.2600000002</v>
      </c>
      <c r="I36" s="183">
        <f t="shared" si="24"/>
        <v>4531008</v>
      </c>
      <c r="J36" s="982">
        <f t="shared" si="24"/>
        <v>533059</v>
      </c>
      <c r="K36" s="193">
        <f t="shared" si="24"/>
        <v>266527</v>
      </c>
      <c r="L36" s="1067">
        <f t="shared" si="24"/>
        <v>5330594</v>
      </c>
      <c r="M36" s="190">
        <f>L36/F36*100</f>
        <v>130.12973196506468</v>
      </c>
      <c r="N36" s="191">
        <f>L36/G36*100</f>
        <v>110.87928182759764</v>
      </c>
      <c r="O36" s="18"/>
    </row>
    <row r="38" spans="1:15" x14ac:dyDescent="0.2">
      <c r="M38" s="1"/>
      <c r="N38" s="1"/>
    </row>
    <row r="39" spans="1:15" ht="15.75" x14ac:dyDescent="0.25">
      <c r="A39" s="1006"/>
      <c r="C39" s="2"/>
      <c r="D39" s="3"/>
      <c r="E39" s="2"/>
      <c r="F39" s="3"/>
      <c r="H39" s="2"/>
      <c r="L39" s="3"/>
    </row>
  </sheetData>
  <mergeCells count="25">
    <mergeCell ref="A2:N2"/>
    <mergeCell ref="A6:A7"/>
    <mergeCell ref="B6:C7"/>
    <mergeCell ref="D6:E6"/>
    <mergeCell ref="F6:H6"/>
    <mergeCell ref="I6:L6"/>
    <mergeCell ref="M6:M7"/>
    <mergeCell ref="N6:N7"/>
    <mergeCell ref="B23:B26"/>
    <mergeCell ref="B9:C9"/>
    <mergeCell ref="B13:B21"/>
    <mergeCell ref="B34:C34"/>
    <mergeCell ref="A12:A21"/>
    <mergeCell ref="B22:C22"/>
    <mergeCell ref="A22:A26"/>
    <mergeCell ref="B11:C11"/>
    <mergeCell ref="B12:C12"/>
    <mergeCell ref="B10:C10"/>
    <mergeCell ref="A27:A30"/>
    <mergeCell ref="B35:C35"/>
    <mergeCell ref="B27:C27"/>
    <mergeCell ref="B32:C32"/>
    <mergeCell ref="B33:C33"/>
    <mergeCell ref="B31:C31"/>
    <mergeCell ref="B28:B30"/>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W37"/>
  <sheetViews>
    <sheetView zoomScaleNormal="100" workbookViewId="0"/>
  </sheetViews>
  <sheetFormatPr defaultRowHeight="12.75" x14ac:dyDescent="0.2"/>
  <cols>
    <col min="1" max="1" width="7.5703125" style="1" customWidth="1"/>
    <col min="2" max="2" width="6.7109375" style="1" customWidth="1"/>
    <col min="3" max="3" width="41.5703125" style="1" customWidth="1"/>
    <col min="4" max="4" width="14.7109375" style="2" customWidth="1"/>
    <col min="5" max="5" width="14.7109375" style="3" customWidth="1"/>
    <col min="6" max="6" width="14.7109375" style="2" customWidth="1"/>
    <col min="7" max="9" width="14.7109375" style="3" customWidth="1"/>
    <col min="10" max="10" width="15.42578125" style="3" customWidth="1"/>
    <col min="11" max="11" width="14.7109375" style="3" customWidth="1"/>
    <col min="12" max="12" width="14.7109375" style="843" customWidth="1"/>
    <col min="13" max="13" width="10.85546875" style="5" customWidth="1"/>
    <col min="14" max="14" width="9.7109375" style="5" customWidth="1"/>
    <col min="15" max="257" width="9.140625" style="1"/>
    <col min="258" max="258" width="6.7109375" style="1" customWidth="1"/>
    <col min="259" max="259" width="41.5703125" style="1" customWidth="1"/>
    <col min="260" max="267" width="14.7109375" style="1" customWidth="1"/>
    <col min="268" max="268" width="16.7109375" style="1" customWidth="1"/>
    <col min="269" max="269" width="10.85546875" style="1" customWidth="1"/>
    <col min="270" max="270" width="9.7109375" style="1" customWidth="1"/>
    <col min="271" max="513" width="9.140625" style="1"/>
    <col min="514" max="514" width="6.7109375" style="1" customWidth="1"/>
    <col min="515" max="515" width="41.5703125" style="1" customWidth="1"/>
    <col min="516" max="523" width="14.7109375" style="1" customWidth="1"/>
    <col min="524" max="524" width="16.7109375" style="1" customWidth="1"/>
    <col min="525" max="525" width="10.85546875" style="1" customWidth="1"/>
    <col min="526" max="526" width="9.7109375" style="1" customWidth="1"/>
    <col min="527" max="769" width="9.140625" style="1"/>
    <col min="770" max="770" width="6.7109375" style="1" customWidth="1"/>
    <col min="771" max="771" width="41.5703125" style="1" customWidth="1"/>
    <col min="772" max="779" width="14.7109375" style="1" customWidth="1"/>
    <col min="780" max="780" width="16.7109375" style="1" customWidth="1"/>
    <col min="781" max="781" width="10.85546875" style="1" customWidth="1"/>
    <col min="782" max="782" width="9.7109375" style="1" customWidth="1"/>
    <col min="783" max="1025" width="9.140625" style="1"/>
    <col min="1026" max="1026" width="6.7109375" style="1" customWidth="1"/>
    <col min="1027" max="1027" width="41.5703125" style="1" customWidth="1"/>
    <col min="1028" max="1035" width="14.7109375" style="1" customWidth="1"/>
    <col min="1036" max="1036" width="16.7109375" style="1" customWidth="1"/>
    <col min="1037" max="1037" width="10.85546875" style="1" customWidth="1"/>
    <col min="1038" max="1038" width="9.7109375" style="1" customWidth="1"/>
    <col min="1039" max="1281" width="9.140625" style="1"/>
    <col min="1282" max="1282" width="6.7109375" style="1" customWidth="1"/>
    <col min="1283" max="1283" width="41.5703125" style="1" customWidth="1"/>
    <col min="1284" max="1291" width="14.7109375" style="1" customWidth="1"/>
    <col min="1292" max="1292" width="16.7109375" style="1" customWidth="1"/>
    <col min="1293" max="1293" width="10.85546875" style="1" customWidth="1"/>
    <col min="1294" max="1294" width="9.7109375" style="1" customWidth="1"/>
    <col min="1295" max="1537" width="9.140625" style="1"/>
    <col min="1538" max="1538" width="6.7109375" style="1" customWidth="1"/>
    <col min="1539" max="1539" width="41.5703125" style="1" customWidth="1"/>
    <col min="1540" max="1547" width="14.7109375" style="1" customWidth="1"/>
    <col min="1548" max="1548" width="16.7109375" style="1" customWidth="1"/>
    <col min="1549" max="1549" width="10.85546875" style="1" customWidth="1"/>
    <col min="1550" max="1550" width="9.7109375" style="1" customWidth="1"/>
    <col min="1551" max="1793" width="9.140625" style="1"/>
    <col min="1794" max="1794" width="6.7109375" style="1" customWidth="1"/>
    <col min="1795" max="1795" width="41.5703125" style="1" customWidth="1"/>
    <col min="1796" max="1803" width="14.7109375" style="1" customWidth="1"/>
    <col min="1804" max="1804" width="16.7109375" style="1" customWidth="1"/>
    <col min="1805" max="1805" width="10.85546875" style="1" customWidth="1"/>
    <col min="1806" max="1806" width="9.7109375" style="1" customWidth="1"/>
    <col min="1807" max="2049" width="9.140625" style="1"/>
    <col min="2050" max="2050" width="6.7109375" style="1" customWidth="1"/>
    <col min="2051" max="2051" width="41.5703125" style="1" customWidth="1"/>
    <col min="2052" max="2059" width="14.7109375" style="1" customWidth="1"/>
    <col min="2060" max="2060" width="16.7109375" style="1" customWidth="1"/>
    <col min="2061" max="2061" width="10.85546875" style="1" customWidth="1"/>
    <col min="2062" max="2062" width="9.7109375" style="1" customWidth="1"/>
    <col min="2063" max="2305" width="9.140625" style="1"/>
    <col min="2306" max="2306" width="6.7109375" style="1" customWidth="1"/>
    <col min="2307" max="2307" width="41.5703125" style="1" customWidth="1"/>
    <col min="2308" max="2315" width="14.7109375" style="1" customWidth="1"/>
    <col min="2316" max="2316" width="16.7109375" style="1" customWidth="1"/>
    <col min="2317" max="2317" width="10.85546875" style="1" customWidth="1"/>
    <col min="2318" max="2318" width="9.7109375" style="1" customWidth="1"/>
    <col min="2319" max="2561" width="9.140625" style="1"/>
    <col min="2562" max="2562" width="6.7109375" style="1" customWidth="1"/>
    <col min="2563" max="2563" width="41.5703125" style="1" customWidth="1"/>
    <col min="2564" max="2571" width="14.7109375" style="1" customWidth="1"/>
    <col min="2572" max="2572" width="16.7109375" style="1" customWidth="1"/>
    <col min="2573" max="2573" width="10.85546875" style="1" customWidth="1"/>
    <col min="2574" max="2574" width="9.7109375" style="1" customWidth="1"/>
    <col min="2575" max="2817" width="9.140625" style="1"/>
    <col min="2818" max="2818" width="6.7109375" style="1" customWidth="1"/>
    <col min="2819" max="2819" width="41.5703125" style="1" customWidth="1"/>
    <col min="2820" max="2827" width="14.7109375" style="1" customWidth="1"/>
    <col min="2828" max="2828" width="16.7109375" style="1" customWidth="1"/>
    <col min="2829" max="2829" width="10.85546875" style="1" customWidth="1"/>
    <col min="2830" max="2830" width="9.7109375" style="1" customWidth="1"/>
    <col min="2831" max="3073" width="9.140625" style="1"/>
    <col min="3074" max="3074" width="6.7109375" style="1" customWidth="1"/>
    <col min="3075" max="3075" width="41.5703125" style="1" customWidth="1"/>
    <col min="3076" max="3083" width="14.7109375" style="1" customWidth="1"/>
    <col min="3084" max="3084" width="16.7109375" style="1" customWidth="1"/>
    <col min="3085" max="3085" width="10.85546875" style="1" customWidth="1"/>
    <col min="3086" max="3086" width="9.7109375" style="1" customWidth="1"/>
    <col min="3087" max="3329" width="9.140625" style="1"/>
    <col min="3330" max="3330" width="6.7109375" style="1" customWidth="1"/>
    <col min="3331" max="3331" width="41.5703125" style="1" customWidth="1"/>
    <col min="3332" max="3339" width="14.7109375" style="1" customWidth="1"/>
    <col min="3340" max="3340" width="16.7109375" style="1" customWidth="1"/>
    <col min="3341" max="3341" width="10.85546875" style="1" customWidth="1"/>
    <col min="3342" max="3342" width="9.7109375" style="1" customWidth="1"/>
    <col min="3343" max="3585" width="9.140625" style="1"/>
    <col min="3586" max="3586" width="6.7109375" style="1" customWidth="1"/>
    <col min="3587" max="3587" width="41.5703125" style="1" customWidth="1"/>
    <col min="3588" max="3595" width="14.7109375" style="1" customWidth="1"/>
    <col min="3596" max="3596" width="16.7109375" style="1" customWidth="1"/>
    <col min="3597" max="3597" width="10.85546875" style="1" customWidth="1"/>
    <col min="3598" max="3598" width="9.7109375" style="1" customWidth="1"/>
    <col min="3599" max="3841" width="9.140625" style="1"/>
    <col min="3842" max="3842" width="6.7109375" style="1" customWidth="1"/>
    <col min="3843" max="3843" width="41.5703125" style="1" customWidth="1"/>
    <col min="3844" max="3851" width="14.7109375" style="1" customWidth="1"/>
    <col min="3852" max="3852" width="16.7109375" style="1" customWidth="1"/>
    <col min="3853" max="3853" width="10.85546875" style="1" customWidth="1"/>
    <col min="3854" max="3854" width="9.7109375" style="1" customWidth="1"/>
    <col min="3855" max="4097" width="9.140625" style="1"/>
    <col min="4098" max="4098" width="6.7109375" style="1" customWidth="1"/>
    <col min="4099" max="4099" width="41.5703125" style="1" customWidth="1"/>
    <col min="4100" max="4107" width="14.7109375" style="1" customWidth="1"/>
    <col min="4108" max="4108" width="16.7109375" style="1" customWidth="1"/>
    <col min="4109" max="4109" width="10.85546875" style="1" customWidth="1"/>
    <col min="4110" max="4110" width="9.7109375" style="1" customWidth="1"/>
    <col min="4111" max="4353" width="9.140625" style="1"/>
    <col min="4354" max="4354" width="6.7109375" style="1" customWidth="1"/>
    <col min="4355" max="4355" width="41.5703125" style="1" customWidth="1"/>
    <col min="4356" max="4363" width="14.7109375" style="1" customWidth="1"/>
    <col min="4364" max="4364" width="16.7109375" style="1" customWidth="1"/>
    <col min="4365" max="4365" width="10.85546875" style="1" customWidth="1"/>
    <col min="4366" max="4366" width="9.7109375" style="1" customWidth="1"/>
    <col min="4367" max="4609" width="9.140625" style="1"/>
    <col min="4610" max="4610" width="6.7109375" style="1" customWidth="1"/>
    <col min="4611" max="4611" width="41.5703125" style="1" customWidth="1"/>
    <col min="4612" max="4619" width="14.7109375" style="1" customWidth="1"/>
    <col min="4620" max="4620" width="16.7109375" style="1" customWidth="1"/>
    <col min="4621" max="4621" width="10.85546875" style="1" customWidth="1"/>
    <col min="4622" max="4622" width="9.7109375" style="1" customWidth="1"/>
    <col min="4623" max="4865" width="9.140625" style="1"/>
    <col min="4866" max="4866" width="6.7109375" style="1" customWidth="1"/>
    <col min="4867" max="4867" width="41.5703125" style="1" customWidth="1"/>
    <col min="4868" max="4875" width="14.7109375" style="1" customWidth="1"/>
    <col min="4876" max="4876" width="16.7109375" style="1" customWidth="1"/>
    <col min="4877" max="4877" width="10.85546875" style="1" customWidth="1"/>
    <col min="4878" max="4878" width="9.7109375" style="1" customWidth="1"/>
    <col min="4879" max="5121" width="9.140625" style="1"/>
    <col min="5122" max="5122" width="6.7109375" style="1" customWidth="1"/>
    <col min="5123" max="5123" width="41.5703125" style="1" customWidth="1"/>
    <col min="5124" max="5131" width="14.7109375" style="1" customWidth="1"/>
    <col min="5132" max="5132" width="16.7109375" style="1" customWidth="1"/>
    <col min="5133" max="5133" width="10.85546875" style="1" customWidth="1"/>
    <col min="5134" max="5134" width="9.7109375" style="1" customWidth="1"/>
    <col min="5135" max="5377" width="9.140625" style="1"/>
    <col min="5378" max="5378" width="6.7109375" style="1" customWidth="1"/>
    <col min="5379" max="5379" width="41.5703125" style="1" customWidth="1"/>
    <col min="5380" max="5387" width="14.7109375" style="1" customWidth="1"/>
    <col min="5388" max="5388" width="16.7109375" style="1" customWidth="1"/>
    <col min="5389" max="5389" width="10.85546875" style="1" customWidth="1"/>
    <col min="5390" max="5390" width="9.7109375" style="1" customWidth="1"/>
    <col min="5391" max="5633" width="9.140625" style="1"/>
    <col min="5634" max="5634" width="6.7109375" style="1" customWidth="1"/>
    <col min="5635" max="5635" width="41.5703125" style="1" customWidth="1"/>
    <col min="5636" max="5643" width="14.7109375" style="1" customWidth="1"/>
    <col min="5644" max="5644" width="16.7109375" style="1" customWidth="1"/>
    <col min="5645" max="5645" width="10.85546875" style="1" customWidth="1"/>
    <col min="5646" max="5646" width="9.7109375" style="1" customWidth="1"/>
    <col min="5647" max="5889" width="9.140625" style="1"/>
    <col min="5890" max="5890" width="6.7109375" style="1" customWidth="1"/>
    <col min="5891" max="5891" width="41.5703125" style="1" customWidth="1"/>
    <col min="5892" max="5899" width="14.7109375" style="1" customWidth="1"/>
    <col min="5900" max="5900" width="16.7109375" style="1" customWidth="1"/>
    <col min="5901" max="5901" width="10.85546875" style="1" customWidth="1"/>
    <col min="5902" max="5902" width="9.7109375" style="1" customWidth="1"/>
    <col min="5903" max="6145" width="9.140625" style="1"/>
    <col min="6146" max="6146" width="6.7109375" style="1" customWidth="1"/>
    <col min="6147" max="6147" width="41.5703125" style="1" customWidth="1"/>
    <col min="6148" max="6155" width="14.7109375" style="1" customWidth="1"/>
    <col min="6156" max="6156" width="16.7109375" style="1" customWidth="1"/>
    <col min="6157" max="6157" width="10.85546875" style="1" customWidth="1"/>
    <col min="6158" max="6158" width="9.7109375" style="1" customWidth="1"/>
    <col min="6159" max="6401" width="9.140625" style="1"/>
    <col min="6402" max="6402" width="6.7109375" style="1" customWidth="1"/>
    <col min="6403" max="6403" width="41.5703125" style="1" customWidth="1"/>
    <col min="6404" max="6411" width="14.7109375" style="1" customWidth="1"/>
    <col min="6412" max="6412" width="16.7109375" style="1" customWidth="1"/>
    <col min="6413" max="6413" width="10.85546875" style="1" customWidth="1"/>
    <col min="6414" max="6414" width="9.7109375" style="1" customWidth="1"/>
    <col min="6415" max="6657" width="9.140625" style="1"/>
    <col min="6658" max="6658" width="6.7109375" style="1" customWidth="1"/>
    <col min="6659" max="6659" width="41.5703125" style="1" customWidth="1"/>
    <col min="6660" max="6667" width="14.7109375" style="1" customWidth="1"/>
    <col min="6668" max="6668" width="16.7109375" style="1" customWidth="1"/>
    <col min="6669" max="6669" width="10.85546875" style="1" customWidth="1"/>
    <col min="6670" max="6670" width="9.7109375" style="1" customWidth="1"/>
    <col min="6671" max="6913" width="9.140625" style="1"/>
    <col min="6914" max="6914" width="6.7109375" style="1" customWidth="1"/>
    <col min="6915" max="6915" width="41.5703125" style="1" customWidth="1"/>
    <col min="6916" max="6923" width="14.7109375" style="1" customWidth="1"/>
    <col min="6924" max="6924" width="16.7109375" style="1" customWidth="1"/>
    <col min="6925" max="6925" width="10.85546875" style="1" customWidth="1"/>
    <col min="6926" max="6926" width="9.7109375" style="1" customWidth="1"/>
    <col min="6927" max="7169" width="9.140625" style="1"/>
    <col min="7170" max="7170" width="6.7109375" style="1" customWidth="1"/>
    <col min="7171" max="7171" width="41.5703125" style="1" customWidth="1"/>
    <col min="7172" max="7179" width="14.7109375" style="1" customWidth="1"/>
    <col min="7180" max="7180" width="16.7109375" style="1" customWidth="1"/>
    <col min="7181" max="7181" width="10.85546875" style="1" customWidth="1"/>
    <col min="7182" max="7182" width="9.7109375" style="1" customWidth="1"/>
    <col min="7183" max="7425" width="9.140625" style="1"/>
    <col min="7426" max="7426" width="6.7109375" style="1" customWidth="1"/>
    <col min="7427" max="7427" width="41.5703125" style="1" customWidth="1"/>
    <col min="7428" max="7435" width="14.7109375" style="1" customWidth="1"/>
    <col min="7436" max="7436" width="16.7109375" style="1" customWidth="1"/>
    <col min="7437" max="7437" width="10.85546875" style="1" customWidth="1"/>
    <col min="7438" max="7438" width="9.7109375" style="1" customWidth="1"/>
    <col min="7439" max="7681" width="9.140625" style="1"/>
    <col min="7682" max="7682" width="6.7109375" style="1" customWidth="1"/>
    <col min="7683" max="7683" width="41.5703125" style="1" customWidth="1"/>
    <col min="7684" max="7691" width="14.7109375" style="1" customWidth="1"/>
    <col min="7692" max="7692" width="16.7109375" style="1" customWidth="1"/>
    <col min="7693" max="7693" width="10.85546875" style="1" customWidth="1"/>
    <col min="7694" max="7694" width="9.7109375" style="1" customWidth="1"/>
    <col min="7695" max="7937" width="9.140625" style="1"/>
    <col min="7938" max="7938" width="6.7109375" style="1" customWidth="1"/>
    <col min="7939" max="7939" width="41.5703125" style="1" customWidth="1"/>
    <col min="7940" max="7947" width="14.7109375" style="1" customWidth="1"/>
    <col min="7948" max="7948" width="16.7109375" style="1" customWidth="1"/>
    <col min="7949" max="7949" width="10.85546875" style="1" customWidth="1"/>
    <col min="7950" max="7950" width="9.7109375" style="1" customWidth="1"/>
    <col min="7951" max="8193" width="9.140625" style="1"/>
    <col min="8194" max="8194" width="6.7109375" style="1" customWidth="1"/>
    <col min="8195" max="8195" width="41.5703125" style="1" customWidth="1"/>
    <col min="8196" max="8203" width="14.7109375" style="1" customWidth="1"/>
    <col min="8204" max="8204" width="16.7109375" style="1" customWidth="1"/>
    <col min="8205" max="8205" width="10.85546875" style="1" customWidth="1"/>
    <col min="8206" max="8206" width="9.7109375" style="1" customWidth="1"/>
    <col min="8207" max="8449" width="9.140625" style="1"/>
    <col min="8450" max="8450" width="6.7109375" style="1" customWidth="1"/>
    <col min="8451" max="8451" width="41.5703125" style="1" customWidth="1"/>
    <col min="8452" max="8459" width="14.7109375" style="1" customWidth="1"/>
    <col min="8460" max="8460" width="16.7109375" style="1" customWidth="1"/>
    <col min="8461" max="8461" width="10.85546875" style="1" customWidth="1"/>
    <col min="8462" max="8462" width="9.7109375" style="1" customWidth="1"/>
    <col min="8463" max="8705" width="9.140625" style="1"/>
    <col min="8706" max="8706" width="6.7109375" style="1" customWidth="1"/>
    <col min="8707" max="8707" width="41.5703125" style="1" customWidth="1"/>
    <col min="8708" max="8715" width="14.7109375" style="1" customWidth="1"/>
    <col min="8716" max="8716" width="16.7109375" style="1" customWidth="1"/>
    <col min="8717" max="8717" width="10.85546875" style="1" customWidth="1"/>
    <col min="8718" max="8718" width="9.7109375" style="1" customWidth="1"/>
    <col min="8719" max="8961" width="9.140625" style="1"/>
    <col min="8962" max="8962" width="6.7109375" style="1" customWidth="1"/>
    <col min="8963" max="8963" width="41.5703125" style="1" customWidth="1"/>
    <col min="8964" max="8971" width="14.7109375" style="1" customWidth="1"/>
    <col min="8972" max="8972" width="16.7109375" style="1" customWidth="1"/>
    <col min="8973" max="8973" width="10.85546875" style="1" customWidth="1"/>
    <col min="8974" max="8974" width="9.7109375" style="1" customWidth="1"/>
    <col min="8975" max="9217" width="9.140625" style="1"/>
    <col min="9218" max="9218" width="6.7109375" style="1" customWidth="1"/>
    <col min="9219" max="9219" width="41.5703125" style="1" customWidth="1"/>
    <col min="9220" max="9227" width="14.7109375" style="1" customWidth="1"/>
    <col min="9228" max="9228" width="16.7109375" style="1" customWidth="1"/>
    <col min="9229" max="9229" width="10.85546875" style="1" customWidth="1"/>
    <col min="9230" max="9230" width="9.7109375" style="1" customWidth="1"/>
    <col min="9231" max="9473" width="9.140625" style="1"/>
    <col min="9474" max="9474" width="6.7109375" style="1" customWidth="1"/>
    <col min="9475" max="9475" width="41.5703125" style="1" customWidth="1"/>
    <col min="9476" max="9483" width="14.7109375" style="1" customWidth="1"/>
    <col min="9484" max="9484" width="16.7109375" style="1" customWidth="1"/>
    <col min="9485" max="9485" width="10.85546875" style="1" customWidth="1"/>
    <col min="9486" max="9486" width="9.7109375" style="1" customWidth="1"/>
    <col min="9487" max="9729" width="9.140625" style="1"/>
    <col min="9730" max="9730" width="6.7109375" style="1" customWidth="1"/>
    <col min="9731" max="9731" width="41.5703125" style="1" customWidth="1"/>
    <col min="9732" max="9739" width="14.7109375" style="1" customWidth="1"/>
    <col min="9740" max="9740" width="16.7109375" style="1" customWidth="1"/>
    <col min="9741" max="9741" width="10.85546875" style="1" customWidth="1"/>
    <col min="9742" max="9742" width="9.7109375" style="1" customWidth="1"/>
    <col min="9743" max="9985" width="9.140625" style="1"/>
    <col min="9986" max="9986" width="6.7109375" style="1" customWidth="1"/>
    <col min="9987" max="9987" width="41.5703125" style="1" customWidth="1"/>
    <col min="9988" max="9995" width="14.7109375" style="1" customWidth="1"/>
    <col min="9996" max="9996" width="16.7109375" style="1" customWidth="1"/>
    <col min="9997" max="9997" width="10.85546875" style="1" customWidth="1"/>
    <col min="9998" max="9998" width="9.7109375" style="1" customWidth="1"/>
    <col min="9999" max="10241" width="9.140625" style="1"/>
    <col min="10242" max="10242" width="6.7109375" style="1" customWidth="1"/>
    <col min="10243" max="10243" width="41.5703125" style="1" customWidth="1"/>
    <col min="10244" max="10251" width="14.7109375" style="1" customWidth="1"/>
    <col min="10252" max="10252" width="16.7109375" style="1" customWidth="1"/>
    <col min="10253" max="10253" width="10.85546875" style="1" customWidth="1"/>
    <col min="10254" max="10254" width="9.7109375" style="1" customWidth="1"/>
    <col min="10255" max="10497" width="9.140625" style="1"/>
    <col min="10498" max="10498" width="6.7109375" style="1" customWidth="1"/>
    <col min="10499" max="10499" width="41.5703125" style="1" customWidth="1"/>
    <col min="10500" max="10507" width="14.7109375" style="1" customWidth="1"/>
    <col min="10508" max="10508" width="16.7109375" style="1" customWidth="1"/>
    <col min="10509" max="10509" width="10.85546875" style="1" customWidth="1"/>
    <col min="10510" max="10510" width="9.7109375" style="1" customWidth="1"/>
    <col min="10511" max="10753" width="9.140625" style="1"/>
    <col min="10754" max="10754" width="6.7109375" style="1" customWidth="1"/>
    <col min="10755" max="10755" width="41.5703125" style="1" customWidth="1"/>
    <col min="10756" max="10763" width="14.7109375" style="1" customWidth="1"/>
    <col min="10764" max="10764" width="16.7109375" style="1" customWidth="1"/>
    <col min="10765" max="10765" width="10.85546875" style="1" customWidth="1"/>
    <col min="10766" max="10766" width="9.7109375" style="1" customWidth="1"/>
    <col min="10767" max="11009" width="9.140625" style="1"/>
    <col min="11010" max="11010" width="6.7109375" style="1" customWidth="1"/>
    <col min="11011" max="11011" width="41.5703125" style="1" customWidth="1"/>
    <col min="11012" max="11019" width="14.7109375" style="1" customWidth="1"/>
    <col min="11020" max="11020" width="16.7109375" style="1" customWidth="1"/>
    <col min="11021" max="11021" width="10.85546875" style="1" customWidth="1"/>
    <col min="11022" max="11022" width="9.7109375" style="1" customWidth="1"/>
    <col min="11023" max="11265" width="9.140625" style="1"/>
    <col min="11266" max="11266" width="6.7109375" style="1" customWidth="1"/>
    <col min="11267" max="11267" width="41.5703125" style="1" customWidth="1"/>
    <col min="11268" max="11275" width="14.7109375" style="1" customWidth="1"/>
    <col min="11276" max="11276" width="16.7109375" style="1" customWidth="1"/>
    <col min="11277" max="11277" width="10.85546875" style="1" customWidth="1"/>
    <col min="11278" max="11278" width="9.7109375" style="1" customWidth="1"/>
    <col min="11279" max="11521" width="9.140625" style="1"/>
    <col min="11522" max="11522" width="6.7109375" style="1" customWidth="1"/>
    <col min="11523" max="11523" width="41.5703125" style="1" customWidth="1"/>
    <col min="11524" max="11531" width="14.7109375" style="1" customWidth="1"/>
    <col min="11532" max="11532" width="16.7109375" style="1" customWidth="1"/>
    <col min="11533" max="11533" width="10.85546875" style="1" customWidth="1"/>
    <col min="11534" max="11534" width="9.7109375" style="1" customWidth="1"/>
    <col min="11535" max="11777" width="9.140625" style="1"/>
    <col min="11778" max="11778" width="6.7109375" style="1" customWidth="1"/>
    <col min="11779" max="11779" width="41.5703125" style="1" customWidth="1"/>
    <col min="11780" max="11787" width="14.7109375" style="1" customWidth="1"/>
    <col min="11788" max="11788" width="16.7109375" style="1" customWidth="1"/>
    <col min="11789" max="11789" width="10.85546875" style="1" customWidth="1"/>
    <col min="11790" max="11790" width="9.7109375" style="1" customWidth="1"/>
    <col min="11791" max="12033" width="9.140625" style="1"/>
    <col min="12034" max="12034" width="6.7109375" style="1" customWidth="1"/>
    <col min="12035" max="12035" width="41.5703125" style="1" customWidth="1"/>
    <col min="12036" max="12043" width="14.7109375" style="1" customWidth="1"/>
    <col min="12044" max="12044" width="16.7109375" style="1" customWidth="1"/>
    <col min="12045" max="12045" width="10.85546875" style="1" customWidth="1"/>
    <col min="12046" max="12046" width="9.7109375" style="1" customWidth="1"/>
    <col min="12047" max="12289" width="9.140625" style="1"/>
    <col min="12290" max="12290" width="6.7109375" style="1" customWidth="1"/>
    <col min="12291" max="12291" width="41.5703125" style="1" customWidth="1"/>
    <col min="12292" max="12299" width="14.7109375" style="1" customWidth="1"/>
    <col min="12300" max="12300" width="16.7109375" style="1" customWidth="1"/>
    <col min="12301" max="12301" width="10.85546875" style="1" customWidth="1"/>
    <col min="12302" max="12302" width="9.7109375" style="1" customWidth="1"/>
    <col min="12303" max="12545" width="9.140625" style="1"/>
    <col min="12546" max="12546" width="6.7109375" style="1" customWidth="1"/>
    <col min="12547" max="12547" width="41.5703125" style="1" customWidth="1"/>
    <col min="12548" max="12555" width="14.7109375" style="1" customWidth="1"/>
    <col min="12556" max="12556" width="16.7109375" style="1" customWidth="1"/>
    <col min="12557" max="12557" width="10.85546875" style="1" customWidth="1"/>
    <col min="12558" max="12558" width="9.7109375" style="1" customWidth="1"/>
    <col min="12559" max="12801" width="9.140625" style="1"/>
    <col min="12802" max="12802" width="6.7109375" style="1" customWidth="1"/>
    <col min="12803" max="12803" width="41.5703125" style="1" customWidth="1"/>
    <col min="12804" max="12811" width="14.7109375" style="1" customWidth="1"/>
    <col min="12812" max="12812" width="16.7109375" style="1" customWidth="1"/>
    <col min="12813" max="12813" width="10.85546875" style="1" customWidth="1"/>
    <col min="12814" max="12814" width="9.7109375" style="1" customWidth="1"/>
    <col min="12815" max="13057" width="9.140625" style="1"/>
    <col min="13058" max="13058" width="6.7109375" style="1" customWidth="1"/>
    <col min="13059" max="13059" width="41.5703125" style="1" customWidth="1"/>
    <col min="13060" max="13067" width="14.7109375" style="1" customWidth="1"/>
    <col min="13068" max="13068" width="16.7109375" style="1" customWidth="1"/>
    <col min="13069" max="13069" width="10.85546875" style="1" customWidth="1"/>
    <col min="13070" max="13070" width="9.7109375" style="1" customWidth="1"/>
    <col min="13071" max="13313" width="9.140625" style="1"/>
    <col min="13314" max="13314" width="6.7109375" style="1" customWidth="1"/>
    <col min="13315" max="13315" width="41.5703125" style="1" customWidth="1"/>
    <col min="13316" max="13323" width="14.7109375" style="1" customWidth="1"/>
    <col min="13324" max="13324" width="16.7109375" style="1" customWidth="1"/>
    <col min="13325" max="13325" width="10.85546875" style="1" customWidth="1"/>
    <col min="13326" max="13326" width="9.7109375" style="1" customWidth="1"/>
    <col min="13327" max="13569" width="9.140625" style="1"/>
    <col min="13570" max="13570" width="6.7109375" style="1" customWidth="1"/>
    <col min="13571" max="13571" width="41.5703125" style="1" customWidth="1"/>
    <col min="13572" max="13579" width="14.7109375" style="1" customWidth="1"/>
    <col min="13580" max="13580" width="16.7109375" style="1" customWidth="1"/>
    <col min="13581" max="13581" width="10.85546875" style="1" customWidth="1"/>
    <col min="13582" max="13582" width="9.7109375" style="1" customWidth="1"/>
    <col min="13583" max="13825" width="9.140625" style="1"/>
    <col min="13826" max="13826" width="6.7109375" style="1" customWidth="1"/>
    <col min="13827" max="13827" width="41.5703125" style="1" customWidth="1"/>
    <col min="13828" max="13835" width="14.7109375" style="1" customWidth="1"/>
    <col min="13836" max="13836" width="16.7109375" style="1" customWidth="1"/>
    <col min="13837" max="13837" width="10.85546875" style="1" customWidth="1"/>
    <col min="13838" max="13838" width="9.7109375" style="1" customWidth="1"/>
    <col min="13839" max="14081" width="9.140625" style="1"/>
    <col min="14082" max="14082" width="6.7109375" style="1" customWidth="1"/>
    <col min="14083" max="14083" width="41.5703125" style="1" customWidth="1"/>
    <col min="14084" max="14091" width="14.7109375" style="1" customWidth="1"/>
    <col min="14092" max="14092" width="16.7109375" style="1" customWidth="1"/>
    <col min="14093" max="14093" width="10.85546875" style="1" customWidth="1"/>
    <col min="14094" max="14094" width="9.7109375" style="1" customWidth="1"/>
    <col min="14095" max="14337" width="9.140625" style="1"/>
    <col min="14338" max="14338" width="6.7109375" style="1" customWidth="1"/>
    <col min="14339" max="14339" width="41.5703125" style="1" customWidth="1"/>
    <col min="14340" max="14347" width="14.7109375" style="1" customWidth="1"/>
    <col min="14348" max="14348" width="16.7109375" style="1" customWidth="1"/>
    <col min="14349" max="14349" width="10.85546875" style="1" customWidth="1"/>
    <col min="14350" max="14350" width="9.7109375" style="1" customWidth="1"/>
    <col min="14351" max="14593" width="9.140625" style="1"/>
    <col min="14594" max="14594" width="6.7109375" style="1" customWidth="1"/>
    <col min="14595" max="14595" width="41.5703125" style="1" customWidth="1"/>
    <col min="14596" max="14603" width="14.7109375" style="1" customWidth="1"/>
    <col min="14604" max="14604" width="16.7109375" style="1" customWidth="1"/>
    <col min="14605" max="14605" width="10.85546875" style="1" customWidth="1"/>
    <col min="14606" max="14606" width="9.7109375" style="1" customWidth="1"/>
    <col min="14607" max="14849" width="9.140625" style="1"/>
    <col min="14850" max="14850" width="6.7109375" style="1" customWidth="1"/>
    <col min="14851" max="14851" width="41.5703125" style="1" customWidth="1"/>
    <col min="14852" max="14859" width="14.7109375" style="1" customWidth="1"/>
    <col min="14860" max="14860" width="16.7109375" style="1" customWidth="1"/>
    <col min="14861" max="14861" width="10.85546875" style="1" customWidth="1"/>
    <col min="14862" max="14862" width="9.7109375" style="1" customWidth="1"/>
    <col min="14863" max="15105" width="9.140625" style="1"/>
    <col min="15106" max="15106" width="6.7109375" style="1" customWidth="1"/>
    <col min="15107" max="15107" width="41.5703125" style="1" customWidth="1"/>
    <col min="15108" max="15115" width="14.7109375" style="1" customWidth="1"/>
    <col min="15116" max="15116" width="16.7109375" style="1" customWidth="1"/>
    <col min="15117" max="15117" width="10.85546875" style="1" customWidth="1"/>
    <col min="15118" max="15118" width="9.7109375" style="1" customWidth="1"/>
    <col min="15119" max="15361" width="9.140625" style="1"/>
    <col min="15362" max="15362" width="6.7109375" style="1" customWidth="1"/>
    <col min="15363" max="15363" width="41.5703125" style="1" customWidth="1"/>
    <col min="15364" max="15371" width="14.7109375" style="1" customWidth="1"/>
    <col min="15372" max="15372" width="16.7109375" style="1" customWidth="1"/>
    <col min="15373" max="15373" width="10.85546875" style="1" customWidth="1"/>
    <col min="15374" max="15374" width="9.7109375" style="1" customWidth="1"/>
    <col min="15375" max="15617" width="9.140625" style="1"/>
    <col min="15618" max="15618" width="6.7109375" style="1" customWidth="1"/>
    <col min="15619" max="15619" width="41.5703125" style="1" customWidth="1"/>
    <col min="15620" max="15627" width="14.7109375" style="1" customWidth="1"/>
    <col min="15628" max="15628" width="16.7109375" style="1" customWidth="1"/>
    <col min="15629" max="15629" width="10.85546875" style="1" customWidth="1"/>
    <col min="15630" max="15630" width="9.7109375" style="1" customWidth="1"/>
    <col min="15631" max="15873" width="9.140625" style="1"/>
    <col min="15874" max="15874" width="6.7109375" style="1" customWidth="1"/>
    <col min="15875" max="15875" width="41.5703125" style="1" customWidth="1"/>
    <col min="15876" max="15883" width="14.7109375" style="1" customWidth="1"/>
    <col min="15884" max="15884" width="16.7109375" style="1" customWidth="1"/>
    <col min="15885" max="15885" width="10.85546875" style="1" customWidth="1"/>
    <col min="15886" max="15886" width="9.7109375" style="1" customWidth="1"/>
    <col min="15887" max="16129" width="9.140625" style="1"/>
    <col min="16130" max="16130" width="6.7109375" style="1" customWidth="1"/>
    <col min="16131" max="16131" width="41.5703125" style="1" customWidth="1"/>
    <col min="16132" max="16139" width="14.7109375" style="1" customWidth="1"/>
    <col min="16140" max="16140" width="16.7109375" style="1" customWidth="1"/>
    <col min="16141" max="16141" width="10.85546875" style="1" customWidth="1"/>
    <col min="16142" max="16142" width="9.7109375" style="1" customWidth="1"/>
    <col min="16143" max="16384" width="9.140625" style="1"/>
  </cols>
  <sheetData>
    <row r="1" spans="1:23" ht="15" customHeight="1" x14ac:dyDescent="0.25">
      <c r="N1" s="6"/>
    </row>
    <row r="2" spans="1:23" ht="20.100000000000001" customHeight="1" x14ac:dyDescent="0.35">
      <c r="A2" s="1284" t="s">
        <v>570</v>
      </c>
      <c r="B2" s="1206"/>
      <c r="C2" s="1206"/>
      <c r="D2" s="1206"/>
      <c r="E2" s="1206"/>
      <c r="F2" s="1206"/>
      <c r="G2" s="1206"/>
      <c r="H2" s="1206"/>
      <c r="I2" s="1206"/>
      <c r="J2" s="1206"/>
      <c r="K2" s="1206"/>
      <c r="L2" s="1206"/>
      <c r="M2" s="1206"/>
      <c r="N2" s="1285"/>
    </row>
    <row r="3" spans="1:23" ht="15" customHeight="1" x14ac:dyDescent="0.2"/>
    <row r="4" spans="1:23" ht="20.100000000000001" customHeight="1" x14ac:dyDescent="0.3">
      <c r="A4" s="7" t="s">
        <v>285</v>
      </c>
      <c r="M4" s="8"/>
    </row>
    <row r="5" spans="1:23" ht="15" customHeight="1" thickBot="1" x14ac:dyDescent="0.35">
      <c r="A5" s="7"/>
      <c r="N5" s="8" t="s">
        <v>0</v>
      </c>
    </row>
    <row r="6" spans="1:23" s="62" customFormat="1" ht="15.95" customHeight="1" x14ac:dyDescent="0.15">
      <c r="A6" s="1286" t="s">
        <v>88</v>
      </c>
      <c r="B6" s="1298" t="s">
        <v>103</v>
      </c>
      <c r="C6" s="1299"/>
      <c r="D6" s="1288" t="s">
        <v>283</v>
      </c>
      <c r="E6" s="1289"/>
      <c r="F6" s="1288" t="s">
        <v>390</v>
      </c>
      <c r="G6" s="1290"/>
      <c r="H6" s="1289"/>
      <c r="I6" s="1291" t="s">
        <v>484</v>
      </c>
      <c r="J6" s="1292"/>
      <c r="K6" s="1292"/>
      <c r="L6" s="1293"/>
      <c r="M6" s="1294" t="s">
        <v>485</v>
      </c>
      <c r="N6" s="1296" t="s">
        <v>489</v>
      </c>
    </row>
    <row r="7" spans="1:23" s="62" customFormat="1" ht="27.75" customHeight="1" thickBot="1" x14ac:dyDescent="0.2">
      <c r="A7" s="1287"/>
      <c r="B7" s="1300"/>
      <c r="C7" s="1301"/>
      <c r="D7" s="179" t="s">
        <v>108</v>
      </c>
      <c r="E7" s="180" t="s">
        <v>127</v>
      </c>
      <c r="F7" s="267" t="s">
        <v>109</v>
      </c>
      <c r="G7" s="268" t="s">
        <v>586</v>
      </c>
      <c r="H7" s="269" t="s">
        <v>587</v>
      </c>
      <c r="I7" s="892" t="s">
        <v>125</v>
      </c>
      <c r="J7" s="893" t="s">
        <v>126</v>
      </c>
      <c r="K7" s="894" t="s">
        <v>331</v>
      </c>
      <c r="L7" s="889" t="s">
        <v>85</v>
      </c>
      <c r="M7" s="1295"/>
      <c r="N7" s="1297"/>
    </row>
    <row r="8" spans="1:23" s="9" customFormat="1" ht="20.100000000000001" customHeight="1" thickBot="1" x14ac:dyDescent="0.3">
      <c r="B8" s="10" t="s">
        <v>104</v>
      </c>
      <c r="C8" s="10"/>
      <c r="D8" s="11"/>
      <c r="E8" s="12"/>
      <c r="F8" s="11"/>
      <c r="G8" s="13"/>
      <c r="H8" s="13"/>
      <c r="I8" s="13"/>
      <c r="J8" s="13"/>
      <c r="K8" s="13"/>
      <c r="L8" s="271"/>
      <c r="M8" s="16"/>
      <c r="N8" s="16"/>
    </row>
    <row r="9" spans="1:23" s="527" customFormat="1" ht="20.100000000000001" customHeight="1" x14ac:dyDescent="0.2">
      <c r="A9" s="509">
        <v>6172</v>
      </c>
      <c r="B9" s="1304" t="s">
        <v>359</v>
      </c>
      <c r="C9" s="1305"/>
      <c r="D9" s="453">
        <v>24064</v>
      </c>
      <c r="E9" s="454">
        <v>0</v>
      </c>
      <c r="F9" s="515">
        <v>15000</v>
      </c>
      <c r="G9" s="456">
        <v>15372.94</v>
      </c>
      <c r="H9" s="578">
        <v>764.25</v>
      </c>
      <c r="I9" s="453">
        <v>3926</v>
      </c>
      <c r="J9" s="540">
        <v>500</v>
      </c>
      <c r="K9" s="1063">
        <v>650</v>
      </c>
      <c r="L9" s="904">
        <f>SUM(I9:K9)</f>
        <v>5076</v>
      </c>
      <c r="M9" s="458">
        <f t="shared" ref="M9" si="0">L9/F9*100</f>
        <v>33.839999999999996</v>
      </c>
      <c r="N9" s="459">
        <f>L9/G9*100</f>
        <v>33.019058163240082</v>
      </c>
      <c r="O9" s="532"/>
      <c r="P9" s="532"/>
      <c r="Q9" s="532"/>
      <c r="R9" s="532"/>
      <c r="S9" s="532"/>
      <c r="T9" s="532"/>
      <c r="U9" s="532"/>
      <c r="V9" s="532"/>
      <c r="W9" s="532"/>
    </row>
    <row r="10" spans="1:23" s="527" customFormat="1" ht="30" customHeight="1" x14ac:dyDescent="0.2">
      <c r="A10" s="668">
        <v>6172</v>
      </c>
      <c r="B10" s="1362" t="s">
        <v>552</v>
      </c>
      <c r="C10" s="1363"/>
      <c r="D10" s="462">
        <v>1186</v>
      </c>
      <c r="E10" s="463">
        <v>1321.68</v>
      </c>
      <c r="F10" s="593">
        <v>0</v>
      </c>
      <c r="G10" s="466">
        <v>29.04</v>
      </c>
      <c r="H10" s="692">
        <v>29.04</v>
      </c>
      <c r="I10" s="462">
        <v>0</v>
      </c>
      <c r="J10" s="464">
        <v>0</v>
      </c>
      <c r="K10" s="1064">
        <v>0</v>
      </c>
      <c r="L10" s="1065">
        <f t="shared" ref="L10:L14" si="1">SUM(I10:K10)</f>
        <v>0</v>
      </c>
      <c r="M10" s="468" t="s">
        <v>60</v>
      </c>
      <c r="N10" s="469">
        <f>L10/G10*100</f>
        <v>0</v>
      </c>
      <c r="O10" s="532"/>
      <c r="P10" s="532"/>
      <c r="Q10" s="532"/>
      <c r="R10" s="532"/>
      <c r="S10" s="532"/>
      <c r="T10" s="532"/>
      <c r="U10" s="532"/>
      <c r="V10" s="532"/>
      <c r="W10" s="532"/>
    </row>
    <row r="11" spans="1:23" s="527" customFormat="1" ht="30" customHeight="1" x14ac:dyDescent="0.2">
      <c r="A11" s="507">
        <v>6172</v>
      </c>
      <c r="B11" s="1362" t="s">
        <v>592</v>
      </c>
      <c r="C11" s="1363"/>
      <c r="D11" s="462">
        <v>0</v>
      </c>
      <c r="E11" s="463">
        <v>0</v>
      </c>
      <c r="F11" s="593">
        <v>0</v>
      </c>
      <c r="G11" s="466">
        <v>0</v>
      </c>
      <c r="H11" s="692">
        <v>0</v>
      </c>
      <c r="I11" s="462">
        <v>8000</v>
      </c>
      <c r="J11" s="464">
        <v>1000</v>
      </c>
      <c r="K11" s="1064">
        <v>1000</v>
      </c>
      <c r="L11" s="1065">
        <f t="shared" si="1"/>
        <v>10000</v>
      </c>
      <c r="M11" s="468" t="s">
        <v>60</v>
      </c>
      <c r="N11" s="469" t="s">
        <v>60</v>
      </c>
      <c r="O11" s="532"/>
      <c r="P11" s="532"/>
      <c r="Q11" s="532"/>
      <c r="R11" s="532"/>
      <c r="S11" s="532"/>
      <c r="T11" s="532"/>
      <c r="U11" s="532"/>
      <c r="V11" s="532"/>
      <c r="W11" s="532"/>
    </row>
    <row r="12" spans="1:23" s="527" customFormat="1" ht="20.100000000000001" customHeight="1" x14ac:dyDescent="0.2">
      <c r="A12" s="507">
        <v>6172</v>
      </c>
      <c r="B12" s="1362" t="s">
        <v>591</v>
      </c>
      <c r="C12" s="1363"/>
      <c r="D12" s="462">
        <v>0</v>
      </c>
      <c r="E12" s="463">
        <v>0</v>
      </c>
      <c r="F12" s="593">
        <v>0</v>
      </c>
      <c r="G12" s="466">
        <v>0</v>
      </c>
      <c r="H12" s="692">
        <v>0</v>
      </c>
      <c r="I12" s="462">
        <v>73</v>
      </c>
      <c r="J12" s="464">
        <v>0</v>
      </c>
      <c r="K12" s="1064">
        <v>0</v>
      </c>
      <c r="L12" s="1065">
        <f t="shared" si="1"/>
        <v>73</v>
      </c>
      <c r="M12" s="468" t="s">
        <v>60</v>
      </c>
      <c r="N12" s="469" t="s">
        <v>60</v>
      </c>
      <c r="O12" s="532"/>
      <c r="P12" s="532"/>
      <c r="Q12" s="532"/>
      <c r="R12" s="532"/>
      <c r="S12" s="532"/>
      <c r="T12" s="532"/>
      <c r="U12" s="532"/>
      <c r="V12" s="532"/>
      <c r="W12" s="532"/>
    </row>
    <row r="13" spans="1:23" s="527" customFormat="1" ht="20.100000000000001" customHeight="1" x14ac:dyDescent="0.2">
      <c r="A13" s="507">
        <v>6172</v>
      </c>
      <c r="B13" s="1362" t="s">
        <v>524</v>
      </c>
      <c r="C13" s="1363"/>
      <c r="D13" s="462">
        <v>0</v>
      </c>
      <c r="E13" s="463">
        <v>0</v>
      </c>
      <c r="F13" s="593">
        <v>0</v>
      </c>
      <c r="G13" s="466">
        <v>1</v>
      </c>
      <c r="H13" s="692">
        <v>1</v>
      </c>
      <c r="I13" s="462">
        <v>1</v>
      </c>
      <c r="J13" s="464">
        <v>0</v>
      </c>
      <c r="K13" s="1064">
        <v>0</v>
      </c>
      <c r="L13" s="1066">
        <f t="shared" si="1"/>
        <v>1</v>
      </c>
      <c r="M13" s="468" t="s">
        <v>60</v>
      </c>
      <c r="N13" s="469">
        <f t="shared" ref="N13:N14" si="2">L13/G13*100</f>
        <v>100</v>
      </c>
      <c r="O13" s="532"/>
      <c r="P13" s="532"/>
      <c r="Q13" s="532"/>
      <c r="R13" s="532"/>
      <c r="S13" s="532"/>
      <c r="T13" s="532"/>
      <c r="U13" s="532"/>
      <c r="V13" s="532"/>
      <c r="W13" s="532"/>
    </row>
    <row r="14" spans="1:23" s="527" customFormat="1" ht="20.100000000000001" customHeight="1" thickBot="1" x14ac:dyDescent="0.25">
      <c r="A14" s="507">
        <v>6172</v>
      </c>
      <c r="B14" s="1362" t="s">
        <v>490</v>
      </c>
      <c r="C14" s="1363"/>
      <c r="D14" s="462">
        <v>0</v>
      </c>
      <c r="E14" s="463">
        <v>0</v>
      </c>
      <c r="F14" s="593">
        <v>0</v>
      </c>
      <c r="G14" s="466">
        <v>63.18</v>
      </c>
      <c r="H14" s="692">
        <v>36.43</v>
      </c>
      <c r="I14" s="462">
        <v>0</v>
      </c>
      <c r="J14" s="464">
        <v>0</v>
      </c>
      <c r="K14" s="1064">
        <v>0</v>
      </c>
      <c r="L14" s="1066">
        <f t="shared" si="1"/>
        <v>0</v>
      </c>
      <c r="M14" s="468" t="s">
        <v>60</v>
      </c>
      <c r="N14" s="469">
        <f t="shared" si="2"/>
        <v>0</v>
      </c>
      <c r="O14" s="532"/>
      <c r="P14" s="532"/>
      <c r="Q14" s="532"/>
      <c r="R14" s="532"/>
      <c r="S14" s="532"/>
      <c r="T14" s="532"/>
      <c r="U14" s="532"/>
      <c r="V14" s="532"/>
      <c r="W14" s="532"/>
    </row>
    <row r="15" spans="1:23" s="19" customFormat="1" ht="16.5" thickBot="1" x14ac:dyDescent="0.3">
      <c r="A15" s="206"/>
      <c r="B15" s="417" t="s">
        <v>85</v>
      </c>
      <c r="C15" s="418"/>
      <c r="D15" s="183">
        <f t="shared" ref="D15:L15" si="3">SUM(D9:D14)</f>
        <v>25250</v>
      </c>
      <c r="E15" s="196">
        <f t="shared" si="3"/>
        <v>1321.68</v>
      </c>
      <c r="F15" s="183">
        <f t="shared" si="3"/>
        <v>15000</v>
      </c>
      <c r="G15" s="185">
        <f t="shared" si="3"/>
        <v>15466.160000000002</v>
      </c>
      <c r="H15" s="184">
        <f t="shared" si="3"/>
        <v>830.71999999999991</v>
      </c>
      <c r="I15" s="183">
        <f t="shared" si="3"/>
        <v>12000</v>
      </c>
      <c r="J15" s="982">
        <f t="shared" si="3"/>
        <v>1500</v>
      </c>
      <c r="K15" s="193">
        <f t="shared" si="3"/>
        <v>1650</v>
      </c>
      <c r="L15" s="1067">
        <f t="shared" si="3"/>
        <v>15150</v>
      </c>
      <c r="M15" s="190">
        <f>L15/F15*100</f>
        <v>101</v>
      </c>
      <c r="N15" s="191">
        <f>L15/G15*100</f>
        <v>97.955795103632695</v>
      </c>
      <c r="O15" s="18"/>
    </row>
    <row r="16" spans="1:23" ht="15" x14ac:dyDescent="0.25">
      <c r="A16" s="20"/>
      <c r="B16" s="20"/>
      <c r="C16" s="20"/>
      <c r="D16" s="170"/>
      <c r="E16" s="169"/>
      <c r="F16" s="170"/>
      <c r="G16" s="172"/>
      <c r="H16" s="172"/>
      <c r="I16" s="172"/>
      <c r="J16" s="172"/>
      <c r="K16" s="172"/>
      <c r="L16" s="172"/>
      <c r="M16" s="24"/>
      <c r="N16" s="25"/>
      <c r="O16" s="17"/>
    </row>
    <row r="17" spans="1:15" ht="15" x14ac:dyDescent="0.25">
      <c r="A17" s="20"/>
      <c r="B17" s="20"/>
      <c r="C17" s="20"/>
      <c r="D17" s="169"/>
      <c r="E17" s="169"/>
      <c r="F17" s="169"/>
      <c r="G17" s="169"/>
      <c r="H17" s="169"/>
      <c r="I17" s="169"/>
      <c r="J17" s="169"/>
      <c r="K17" s="169"/>
      <c r="L17" s="169"/>
      <c r="M17" s="24"/>
      <c r="N17" s="25"/>
      <c r="O17" s="17"/>
    </row>
    <row r="18" spans="1:15" ht="15" x14ac:dyDescent="0.25">
      <c r="A18" s="20"/>
      <c r="B18" s="20"/>
      <c r="C18" s="20"/>
      <c r="D18" s="21"/>
      <c r="E18" s="22"/>
      <c r="F18" s="21"/>
      <c r="G18" s="23"/>
      <c r="H18" s="23"/>
      <c r="I18" s="23"/>
      <c r="J18" s="23"/>
      <c r="K18" s="23"/>
      <c r="L18" s="23"/>
      <c r="M18" s="24"/>
      <c r="N18" s="25"/>
      <c r="O18" s="17"/>
    </row>
    <row r="19" spans="1:15" x14ac:dyDescent="0.2">
      <c r="A19" s="165"/>
      <c r="B19" s="165"/>
      <c r="C19" s="165"/>
      <c r="D19" s="165"/>
      <c r="E19" s="165"/>
      <c r="F19" s="165"/>
      <c r="G19" s="165"/>
      <c r="H19" s="165"/>
      <c r="I19" s="898"/>
      <c r="J19" s="898"/>
      <c r="K19" s="898"/>
      <c r="L19" s="898"/>
      <c r="M19" s="165"/>
      <c r="N19" s="165"/>
      <c r="O19" s="17"/>
    </row>
    <row r="20" spans="1:15" ht="15" x14ac:dyDescent="0.25">
      <c r="A20" s="20"/>
      <c r="B20" s="20"/>
      <c r="C20" s="20"/>
      <c r="D20" s="21"/>
      <c r="E20" s="22"/>
      <c r="F20" s="21"/>
      <c r="G20" s="23"/>
      <c r="H20" s="23"/>
      <c r="I20" s="23"/>
      <c r="J20" s="23"/>
      <c r="K20" s="23"/>
      <c r="L20" s="23"/>
      <c r="M20" s="24"/>
      <c r="N20" s="25"/>
      <c r="O20" s="17"/>
    </row>
    <row r="21" spans="1:15" ht="15" x14ac:dyDescent="0.25">
      <c r="A21" s="20"/>
      <c r="B21" s="20"/>
      <c r="C21" s="20"/>
      <c r="D21" s="21"/>
      <c r="E21" s="22"/>
      <c r="F21" s="21"/>
      <c r="G21" s="23"/>
      <c r="H21" s="23"/>
      <c r="I21" s="23"/>
      <c r="J21" s="23"/>
      <c r="K21" s="23"/>
      <c r="L21" s="23"/>
      <c r="M21" s="24"/>
      <c r="N21" s="25"/>
      <c r="O21" s="17"/>
    </row>
    <row r="26" spans="1:15" x14ac:dyDescent="0.2">
      <c r="A26" s="29"/>
    </row>
    <row r="27" spans="1:15" x14ac:dyDescent="0.2">
      <c r="A27" s="29"/>
    </row>
    <row r="28" spans="1:15" x14ac:dyDescent="0.2">
      <c r="A28" s="29"/>
    </row>
    <row r="30" spans="1:15" x14ac:dyDescent="0.2">
      <c r="A30" s="29"/>
    </row>
    <row r="31" spans="1:15" x14ac:dyDescent="0.2">
      <c r="A31" s="29"/>
    </row>
    <row r="37" spans="1:1" x14ac:dyDescent="0.2">
      <c r="A37" s="97"/>
    </row>
  </sheetData>
  <mergeCells count="14">
    <mergeCell ref="B9:C9"/>
    <mergeCell ref="A2:N2"/>
    <mergeCell ref="A6:A7"/>
    <mergeCell ref="B6:C7"/>
    <mergeCell ref="D6:E6"/>
    <mergeCell ref="F6:H6"/>
    <mergeCell ref="I6:L6"/>
    <mergeCell ref="M6:M7"/>
    <mergeCell ref="N6:N7"/>
    <mergeCell ref="B14:C14"/>
    <mergeCell ref="B10:C10"/>
    <mergeCell ref="B11:C11"/>
    <mergeCell ref="B12:C12"/>
    <mergeCell ref="B13:C13"/>
  </mergeCells>
  <pageMargins left="0.70866141732283472" right="0.70866141732283472" top="0.78740157480314965" bottom="0.78740157480314965" header="0.31496062992125984" footer="0.31496062992125984"/>
  <pageSetup paperSize="9" scale="6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S37"/>
  <sheetViews>
    <sheetView zoomScale="80" zoomScaleNormal="80" workbookViewId="0"/>
  </sheetViews>
  <sheetFormatPr defaultColWidth="9.140625" defaultRowHeight="12.75" x14ac:dyDescent="0.2"/>
  <cols>
    <col min="1" max="1" width="37.85546875" style="29" customWidth="1"/>
    <col min="2" max="2" width="13.7109375" style="40" customWidth="1"/>
    <col min="3" max="3" width="15.140625" style="31" customWidth="1"/>
    <col min="4" max="4" width="14.7109375" style="31" bestFit="1" customWidth="1"/>
    <col min="5" max="5" width="14.28515625" style="31" bestFit="1" customWidth="1"/>
    <col min="6" max="6" width="13.7109375" style="40" customWidth="1"/>
    <col min="7" max="8" width="15.5703125" style="31" customWidth="1"/>
    <col min="9" max="9" width="13.7109375" style="31" customWidth="1"/>
    <col min="10" max="10" width="13.7109375" style="40" customWidth="1"/>
    <col min="11" max="12" width="14.7109375" style="31" bestFit="1" customWidth="1"/>
    <col min="13" max="13" width="13.7109375" style="31" customWidth="1"/>
    <col min="14" max="14" width="15" style="29" customWidth="1"/>
    <col min="15" max="15" width="15" style="31" customWidth="1"/>
    <col min="16" max="16" width="15" style="29" customWidth="1"/>
    <col min="17" max="17" width="13.7109375" style="29" customWidth="1"/>
    <col min="18" max="16384" width="9.140625" style="29"/>
  </cols>
  <sheetData>
    <row r="1" spans="1:19" ht="15" customHeight="1" x14ac:dyDescent="0.2"/>
    <row r="2" spans="1:19" ht="20.100000000000001" customHeight="1" x14ac:dyDescent="0.35">
      <c r="A2" s="27" t="s">
        <v>486</v>
      </c>
      <c r="B2" s="58"/>
      <c r="C2" s="59"/>
      <c r="D2" s="59"/>
    </row>
    <row r="3" spans="1:19" ht="15" customHeight="1" x14ac:dyDescent="0.2"/>
    <row r="4" spans="1:19" ht="20.100000000000001" customHeight="1" x14ac:dyDescent="0.3">
      <c r="A4" s="39" t="s">
        <v>596</v>
      </c>
      <c r="B4" s="853"/>
      <c r="C4" s="853"/>
      <c r="D4" s="853"/>
      <c r="E4" s="899"/>
      <c r="F4" s="853"/>
      <c r="G4" s="853"/>
      <c r="H4" s="853"/>
      <c r="I4" s="899"/>
      <c r="J4" s="853"/>
      <c r="K4" s="853"/>
      <c r="L4" s="853"/>
      <c r="M4" s="899"/>
      <c r="N4" s="853"/>
      <c r="O4" s="853"/>
      <c r="P4" s="853"/>
      <c r="Q4" s="853"/>
    </row>
    <row r="5" spans="1:19" ht="15" customHeight="1" x14ac:dyDescent="0.3">
      <c r="A5" s="39"/>
      <c r="B5" s="60"/>
      <c r="C5" s="61"/>
      <c r="D5" s="61"/>
    </row>
    <row r="6" spans="1:19" ht="15" customHeight="1" thickBot="1" x14ac:dyDescent="0.3">
      <c r="Q6" s="45" t="s">
        <v>0</v>
      </c>
    </row>
    <row r="7" spans="1:19" ht="25.5" customHeight="1" x14ac:dyDescent="0.2">
      <c r="A7" s="1441" t="s">
        <v>25</v>
      </c>
      <c r="B7" s="1434" t="s">
        <v>86</v>
      </c>
      <c r="C7" s="1435"/>
      <c r="D7" s="1435"/>
      <c r="E7" s="1436"/>
      <c r="F7" s="1437" t="s">
        <v>452</v>
      </c>
      <c r="G7" s="1438"/>
      <c r="H7" s="1438"/>
      <c r="I7" s="1439"/>
      <c r="J7" s="1437" t="s">
        <v>415</v>
      </c>
      <c r="K7" s="1438"/>
      <c r="L7" s="1438"/>
      <c r="M7" s="1439"/>
      <c r="N7" s="1440" t="s">
        <v>87</v>
      </c>
      <c r="O7" s="1438"/>
      <c r="P7" s="1438"/>
      <c r="Q7" s="1439"/>
      <c r="S7" s="31"/>
    </row>
    <row r="8" spans="1:19" ht="24.75" customHeight="1" x14ac:dyDescent="0.2">
      <c r="A8" s="1442"/>
      <c r="B8" s="1444" t="s">
        <v>390</v>
      </c>
      <c r="C8" s="1445"/>
      <c r="D8" s="1445"/>
      <c r="E8" s="1446" t="s">
        <v>484</v>
      </c>
      <c r="F8" s="1444" t="s">
        <v>390</v>
      </c>
      <c r="G8" s="1445"/>
      <c r="H8" s="1445"/>
      <c r="I8" s="1446" t="s">
        <v>484</v>
      </c>
      <c r="J8" s="1444" t="s">
        <v>390</v>
      </c>
      <c r="K8" s="1445"/>
      <c r="L8" s="1445"/>
      <c r="M8" s="1446" t="s">
        <v>484</v>
      </c>
      <c r="N8" s="1444" t="s">
        <v>390</v>
      </c>
      <c r="O8" s="1445"/>
      <c r="P8" s="1445"/>
      <c r="Q8" s="1446" t="s">
        <v>484</v>
      </c>
      <c r="S8" s="31"/>
    </row>
    <row r="9" spans="1:19" ht="30" customHeight="1" thickBot="1" x14ac:dyDescent="0.25">
      <c r="A9" s="1443"/>
      <c r="B9" s="142" t="s">
        <v>108</v>
      </c>
      <c r="C9" s="143" t="s">
        <v>586</v>
      </c>
      <c r="D9" s="144" t="s">
        <v>587</v>
      </c>
      <c r="E9" s="1447"/>
      <c r="F9" s="142" t="s">
        <v>108</v>
      </c>
      <c r="G9" s="143" t="s">
        <v>586</v>
      </c>
      <c r="H9" s="144" t="s">
        <v>587</v>
      </c>
      <c r="I9" s="1447"/>
      <c r="J9" s="142" t="s">
        <v>108</v>
      </c>
      <c r="K9" s="143" t="s">
        <v>586</v>
      </c>
      <c r="L9" s="144" t="s">
        <v>587</v>
      </c>
      <c r="M9" s="1447"/>
      <c r="N9" s="142" t="s">
        <v>108</v>
      </c>
      <c r="O9" s="143" t="s">
        <v>586</v>
      </c>
      <c r="P9" s="144" t="s">
        <v>587</v>
      </c>
      <c r="Q9" s="1447"/>
      <c r="S9" s="31"/>
    </row>
    <row r="10" spans="1:19" ht="20.25" customHeight="1" x14ac:dyDescent="0.25">
      <c r="A10" s="109" t="s">
        <v>26</v>
      </c>
      <c r="B10" s="802">
        <f>+'01'!F19</f>
        <v>77358</v>
      </c>
      <c r="C10" s="804">
        <f>+'01'!G19</f>
        <v>82547.5</v>
      </c>
      <c r="D10" s="804">
        <f>+'01'!H19</f>
        <v>45459.35</v>
      </c>
      <c r="E10" s="1184">
        <f>+'01'!L19</f>
        <v>78132</v>
      </c>
      <c r="F10" s="138">
        <v>0</v>
      </c>
      <c r="G10" s="139">
        <v>0</v>
      </c>
      <c r="H10" s="139">
        <v>0</v>
      </c>
      <c r="I10" s="1186">
        <v>0</v>
      </c>
      <c r="J10" s="140">
        <f>+'01'!F13</f>
        <v>41500</v>
      </c>
      <c r="K10" s="141">
        <f>+'01'!G13</f>
        <v>41500</v>
      </c>
      <c r="L10" s="171">
        <f>+'01'!H13</f>
        <v>26983.53</v>
      </c>
      <c r="M10" s="1186">
        <f>+'01'!L13</f>
        <v>45500</v>
      </c>
      <c r="N10" s="375">
        <v>0</v>
      </c>
      <c r="O10" s="141">
        <v>0</v>
      </c>
      <c r="P10" s="141">
        <v>0</v>
      </c>
      <c r="Q10" s="1186">
        <v>0</v>
      </c>
      <c r="R10" s="31"/>
      <c r="S10" s="31"/>
    </row>
    <row r="11" spans="1:19" ht="20.25" customHeight="1" x14ac:dyDescent="0.25">
      <c r="A11" s="108" t="s">
        <v>27</v>
      </c>
      <c r="B11" s="138">
        <f>+'02'!F31</f>
        <v>86704</v>
      </c>
      <c r="C11" s="139">
        <f>+'02'!G31</f>
        <v>90111.41</v>
      </c>
      <c r="D11" s="139">
        <f>+'02'!H31</f>
        <v>40169.060000000005</v>
      </c>
      <c r="E11" s="937">
        <f>+'02'!L31</f>
        <v>86609</v>
      </c>
      <c r="F11" s="138">
        <f>+'02'!F21</f>
        <v>17260</v>
      </c>
      <c r="G11" s="139">
        <f>+'02'!G21</f>
        <v>17260</v>
      </c>
      <c r="H11" s="139">
        <f>+'02'!H21</f>
        <v>6384.13</v>
      </c>
      <c r="I11" s="1187">
        <f>+'02'!L21</f>
        <v>14002</v>
      </c>
      <c r="J11" s="140">
        <v>0</v>
      </c>
      <c r="K11" s="141">
        <v>0</v>
      </c>
      <c r="L11" s="171">
        <v>0</v>
      </c>
      <c r="M11" s="1187">
        <v>0</v>
      </c>
      <c r="N11" s="375">
        <f>+'02'!F20</f>
        <v>20897</v>
      </c>
      <c r="O11" s="141">
        <f>+'02'!G20</f>
        <v>14231.19</v>
      </c>
      <c r="P11" s="141">
        <f>+'02'!H20</f>
        <v>5177.67</v>
      </c>
      <c r="Q11" s="1187">
        <f>+'02'!L20</f>
        <v>17489</v>
      </c>
      <c r="R11" s="31"/>
      <c r="S11" s="31"/>
    </row>
    <row r="12" spans="1:19" ht="20.25" customHeight="1" x14ac:dyDescent="0.25">
      <c r="A12" s="108" t="s">
        <v>28</v>
      </c>
      <c r="B12" s="138">
        <f>+'03'!F12</f>
        <v>59083</v>
      </c>
      <c r="C12" s="139">
        <f>+'03'!G12</f>
        <v>62953.08</v>
      </c>
      <c r="D12" s="139">
        <f>+'03'!H12</f>
        <v>38406.61</v>
      </c>
      <c r="E12" s="937">
        <f>+'03'!L12</f>
        <v>60874</v>
      </c>
      <c r="F12" s="138">
        <v>0</v>
      </c>
      <c r="G12" s="139">
        <v>0</v>
      </c>
      <c r="H12" s="139">
        <v>0</v>
      </c>
      <c r="I12" s="1187">
        <v>0</v>
      </c>
      <c r="J12" s="140">
        <v>0</v>
      </c>
      <c r="K12" s="141">
        <v>0</v>
      </c>
      <c r="L12" s="171">
        <v>0</v>
      </c>
      <c r="M12" s="1187">
        <v>0</v>
      </c>
      <c r="N12" s="375">
        <f>+'03'!F11</f>
        <v>250</v>
      </c>
      <c r="O12" s="141">
        <f>+'03'!G11</f>
        <v>250</v>
      </c>
      <c r="P12" s="141">
        <f>+'03'!H11</f>
        <v>96.8</v>
      </c>
      <c r="Q12" s="1187">
        <f>+'03'!L11</f>
        <v>250</v>
      </c>
      <c r="R12" s="31"/>
      <c r="S12" s="31"/>
    </row>
    <row r="13" spans="1:19" ht="20.25" customHeight="1" x14ac:dyDescent="0.25">
      <c r="A13" s="108" t="s">
        <v>29</v>
      </c>
      <c r="B13" s="138">
        <f>+'04'!F20</f>
        <v>2091408</v>
      </c>
      <c r="C13" s="139">
        <f>+'04'!G20</f>
        <v>2658075.62</v>
      </c>
      <c r="D13" s="139">
        <f>+'04'!H20</f>
        <v>2177589.9300000002</v>
      </c>
      <c r="E13" s="937">
        <f>+'04'!L20</f>
        <v>2847322</v>
      </c>
      <c r="F13" s="138">
        <f>+'04'!F14</f>
        <v>6350</v>
      </c>
      <c r="G13" s="139">
        <f>+'04'!G14</f>
        <v>6350</v>
      </c>
      <c r="H13" s="139">
        <f>+'04'!H14</f>
        <v>4760</v>
      </c>
      <c r="I13" s="1187">
        <f>+'04'!L14</f>
        <v>4350</v>
      </c>
      <c r="J13" s="140">
        <f>+'04'!F12</f>
        <v>137363</v>
      </c>
      <c r="K13" s="141">
        <f>+'04'!G12</f>
        <v>147363</v>
      </c>
      <c r="L13" s="141">
        <f>+'04'!H12</f>
        <v>109022</v>
      </c>
      <c r="M13" s="1187">
        <f>+'04'!L12</f>
        <v>154837</v>
      </c>
      <c r="N13" s="375">
        <f>+'04'!F13+'04'!F15+'04'!F16</f>
        <v>1803574</v>
      </c>
      <c r="O13" s="141">
        <f>+'04'!G13+'04'!G15+'04'!G16</f>
        <v>2355574</v>
      </c>
      <c r="P13" s="141">
        <f>+'04'!H13+'04'!H15+'04'!H16</f>
        <v>1961588.05</v>
      </c>
      <c r="Q13" s="1187">
        <f>+'04'!L13+'04'!L15+'04'!L16</f>
        <v>2540630</v>
      </c>
      <c r="R13" s="31"/>
      <c r="S13" s="31"/>
    </row>
    <row r="14" spans="1:19" ht="20.25" customHeight="1" x14ac:dyDescent="0.25">
      <c r="A14" s="108" t="s">
        <v>95</v>
      </c>
      <c r="B14" s="138">
        <f>+'05'!F115</f>
        <v>1155417</v>
      </c>
      <c r="C14" s="139">
        <f>+'05'!G115</f>
        <v>1124613.8199999998</v>
      </c>
      <c r="D14" s="139">
        <f>+'05'!H115</f>
        <v>805317.84</v>
      </c>
      <c r="E14" s="937">
        <f>+'05'!L115</f>
        <v>1170643</v>
      </c>
      <c r="F14" s="138">
        <f>+'05'!F25</f>
        <v>377520</v>
      </c>
      <c r="G14" s="139">
        <f>+'05'!G25</f>
        <v>373498.83</v>
      </c>
      <c r="H14" s="139">
        <f>+'05'!H25</f>
        <v>295747.83</v>
      </c>
      <c r="I14" s="1187">
        <f>+'05'!L25</f>
        <v>354199</v>
      </c>
      <c r="J14" s="140">
        <f>+'05'!D23+'05'!F79</f>
        <v>28451</v>
      </c>
      <c r="K14" s="141">
        <f>+'05'!E23+'05'!G79</f>
        <v>29776.440000000002</v>
      </c>
      <c r="L14" s="171">
        <f>+'05'!F23+'05'!H79</f>
        <v>23166.910000000003</v>
      </c>
      <c r="M14" s="1187">
        <f>+'05'!L79</f>
        <v>28451</v>
      </c>
      <c r="N14" s="375">
        <f>+'05'!F24+'05'!F49</f>
        <v>101000</v>
      </c>
      <c r="O14" s="141">
        <f>+'05'!G24+'05'!G49</f>
        <v>103805.96</v>
      </c>
      <c r="P14" s="141">
        <f>+'05'!H24+'05'!H49</f>
        <v>52710.84</v>
      </c>
      <c r="Q14" s="1187">
        <f>+'05'!L49+'05'!L24</f>
        <v>102000</v>
      </c>
      <c r="R14" s="31"/>
      <c r="S14" s="31"/>
    </row>
    <row r="15" spans="1:19" ht="20.25" customHeight="1" x14ac:dyDescent="0.25">
      <c r="A15" s="108" t="s">
        <v>30</v>
      </c>
      <c r="B15" s="138">
        <f>+'06'!F87</f>
        <v>536669</v>
      </c>
      <c r="C15" s="139">
        <f>+'06'!G87</f>
        <v>544305.14999999991</v>
      </c>
      <c r="D15" s="139">
        <f>+'06'!H87</f>
        <v>395733.74000000005</v>
      </c>
      <c r="E15" s="937">
        <f>+'06'!L87</f>
        <v>548576</v>
      </c>
      <c r="F15" s="138">
        <f>+'06'!F22+'06'!F32+'06'!F51+'06'!F83</f>
        <v>39544</v>
      </c>
      <c r="G15" s="139">
        <f>+'06'!G22+'06'!G32+'06'!G51+'06'!G83</f>
        <v>39544</v>
      </c>
      <c r="H15" s="139">
        <f>+'06'!H22+'06'!H32+'06'!H51+'06'!H83</f>
        <v>29737.100000000002</v>
      </c>
      <c r="I15" s="1187">
        <f>+'06'!L22+'06'!L32+'06'!L51+'06'!L83</f>
        <v>40307</v>
      </c>
      <c r="J15" s="140">
        <f>+'06'!F20+'06'!F30+'06'!F49+'06'!F81</f>
        <v>343579</v>
      </c>
      <c r="K15" s="171">
        <f>+'06'!G20+'06'!G30+'06'!G49+'06'!G81</f>
        <v>343579</v>
      </c>
      <c r="L15" s="171">
        <f>+'06'!H20+'06'!H30+'06'!H49+'06'!H81</f>
        <v>257647.81</v>
      </c>
      <c r="M15" s="1187">
        <f>+'06'!L20+'06'!L30+'06'!L49+'06'!L81</f>
        <v>348561</v>
      </c>
      <c r="N15" s="375">
        <f>+'06'!F21+'06'!F31+'06'!F50+'06'!F82+'06'!F52</f>
        <v>13732</v>
      </c>
      <c r="O15" s="141">
        <f>+'06'!G21+'06'!G31+'06'!G50+'06'!G82+'06'!G52</f>
        <v>14036.8</v>
      </c>
      <c r="P15" s="141">
        <f>+'06'!H21+'06'!H31+'06'!H50+'06'!H82+'06'!H52</f>
        <v>10147.57</v>
      </c>
      <c r="Q15" s="1187">
        <f>+'06'!L21+'06'!L31+'06'!L50+'06'!L52+'06'!L82</f>
        <v>13732</v>
      </c>
      <c r="R15" s="31"/>
      <c r="S15" s="31"/>
    </row>
    <row r="16" spans="1:19" ht="20.25" customHeight="1" x14ac:dyDescent="0.25">
      <c r="A16" s="108" t="s">
        <v>246</v>
      </c>
      <c r="B16" s="138">
        <f>+'07'!F27</f>
        <v>929774</v>
      </c>
      <c r="C16" s="139">
        <f>+'07'!G27</f>
        <v>872275.80999999994</v>
      </c>
      <c r="D16" s="139">
        <f>+'07'!H27</f>
        <v>669274.25</v>
      </c>
      <c r="E16" s="937">
        <f>+'07'!L27</f>
        <v>815772</v>
      </c>
      <c r="F16" s="138">
        <f>+'07'!F16+'07'!F21</f>
        <v>15554</v>
      </c>
      <c r="G16" s="139">
        <f>+'07'!G16+'07'!G21</f>
        <v>15554</v>
      </c>
      <c r="H16" s="139">
        <f>+'07'!H16+'07'!H21</f>
        <v>11665.349999999999</v>
      </c>
      <c r="I16" s="1187">
        <f>+'07'!L16+'07'!L21</f>
        <v>16139</v>
      </c>
      <c r="J16" s="140">
        <f>+'07'!F14+'07'!F19</f>
        <v>804351</v>
      </c>
      <c r="K16" s="171">
        <f>+'07'!G14+'07'!G19</f>
        <v>744351</v>
      </c>
      <c r="L16" s="171">
        <f>+'07'!H14+'07'!H19</f>
        <v>573263.15999999992</v>
      </c>
      <c r="M16" s="1187">
        <f>+'07'!L14+'07'!L19</f>
        <v>706785</v>
      </c>
      <c r="N16" s="375">
        <f>+'07'!F15+'07'!F20</f>
        <v>4370</v>
      </c>
      <c r="O16" s="141">
        <f>+'07'!G15+'07'!G20</f>
        <v>4370</v>
      </c>
      <c r="P16" s="141">
        <f>+'07'!H15+'07'!H20</f>
        <v>3277.44</v>
      </c>
      <c r="Q16" s="1187">
        <f>+'07'!L15</f>
        <v>2931</v>
      </c>
      <c r="R16" s="31"/>
      <c r="S16" s="31"/>
    </row>
    <row r="17" spans="1:19" ht="20.25" customHeight="1" x14ac:dyDescent="0.25">
      <c r="A17" s="108" t="s">
        <v>32</v>
      </c>
      <c r="B17" s="138">
        <f>+'08'!F23</f>
        <v>17350</v>
      </c>
      <c r="C17" s="139">
        <f>+'08'!G23</f>
        <v>16716.25</v>
      </c>
      <c r="D17" s="139">
        <f>+'08'!H23</f>
        <v>2988.1000000000004</v>
      </c>
      <c r="E17" s="937">
        <f>+'08'!L23</f>
        <v>17218</v>
      </c>
      <c r="F17" s="138">
        <v>0</v>
      </c>
      <c r="G17" s="139">
        <v>0</v>
      </c>
      <c r="H17" s="139">
        <v>0</v>
      </c>
      <c r="I17" s="1187">
        <v>0</v>
      </c>
      <c r="J17" s="140">
        <v>0</v>
      </c>
      <c r="K17" s="141">
        <v>0</v>
      </c>
      <c r="L17" s="171">
        <v>0</v>
      </c>
      <c r="M17" s="1187">
        <v>0</v>
      </c>
      <c r="N17" s="375">
        <v>0</v>
      </c>
      <c r="O17" s="141">
        <v>0</v>
      </c>
      <c r="P17" s="141">
        <v>0</v>
      </c>
      <c r="Q17" s="1187">
        <v>0</v>
      </c>
      <c r="R17" s="31"/>
      <c r="S17" s="31"/>
    </row>
    <row r="18" spans="1:19" ht="20.25" customHeight="1" x14ac:dyDescent="0.25">
      <c r="A18" s="108" t="s">
        <v>33</v>
      </c>
      <c r="B18" s="138">
        <f>+'09'!F29</f>
        <v>74252</v>
      </c>
      <c r="C18" s="139">
        <f>+'09'!G29</f>
        <v>80767.5</v>
      </c>
      <c r="D18" s="139">
        <f>+'09'!H29</f>
        <v>65312.03</v>
      </c>
      <c r="E18" s="937">
        <f>+'09'!L29</f>
        <v>76451</v>
      </c>
      <c r="F18" s="138">
        <v>0</v>
      </c>
      <c r="G18" s="139">
        <f>+'09'!G17</f>
        <v>350</v>
      </c>
      <c r="H18" s="139">
        <f>+'09'!H17</f>
        <v>218.75</v>
      </c>
      <c r="I18" s="1187">
        <f>+'09'!L17</f>
        <v>276</v>
      </c>
      <c r="J18" s="140">
        <f>+'09'!F15</f>
        <v>22438</v>
      </c>
      <c r="K18" s="141">
        <f>+'09'!G15</f>
        <v>22513</v>
      </c>
      <c r="L18" s="171">
        <f>+'09'!H15</f>
        <v>16875.37</v>
      </c>
      <c r="M18" s="1187">
        <f>+'09'!L15</f>
        <v>23092</v>
      </c>
      <c r="N18" s="375">
        <f>+'09'!F16+'09'!F12</f>
        <v>127</v>
      </c>
      <c r="O18" s="141">
        <f>+'09'!G16+'09'!G12</f>
        <v>637.12</v>
      </c>
      <c r="P18" s="141">
        <f>+'09'!H16+'09'!H12</f>
        <v>123.73</v>
      </c>
      <c r="Q18" s="1187">
        <f>+'09'!L16+'09'!L12</f>
        <v>48</v>
      </c>
      <c r="R18" s="31"/>
      <c r="S18" s="31"/>
    </row>
    <row r="19" spans="1:19" ht="20.25" customHeight="1" x14ac:dyDescent="0.25">
      <c r="A19" s="108" t="s">
        <v>34</v>
      </c>
      <c r="B19" s="138">
        <f>+'10'!F23</f>
        <v>46011</v>
      </c>
      <c r="C19" s="139">
        <f>+'10'!G23</f>
        <v>53600.619999999995</v>
      </c>
      <c r="D19" s="139">
        <f>+'10'!H23</f>
        <v>20866.54</v>
      </c>
      <c r="E19" s="937">
        <f>+'10'!L23</f>
        <v>47471</v>
      </c>
      <c r="F19" s="138">
        <v>0</v>
      </c>
      <c r="G19" s="139">
        <v>0</v>
      </c>
      <c r="H19" s="139">
        <v>0</v>
      </c>
      <c r="I19" s="1187">
        <v>0</v>
      </c>
      <c r="J19" s="140">
        <v>0</v>
      </c>
      <c r="K19" s="141">
        <v>0</v>
      </c>
      <c r="L19" s="171">
        <v>0</v>
      </c>
      <c r="M19" s="1187">
        <v>0</v>
      </c>
      <c r="N19" s="375">
        <f>+'10'!F19</f>
        <v>200</v>
      </c>
      <c r="O19" s="141">
        <f>+'10'!G19</f>
        <v>200</v>
      </c>
      <c r="P19" s="141">
        <f>+'10'!H19</f>
        <v>46.15</v>
      </c>
      <c r="Q19" s="1187">
        <f>+'10'!L19</f>
        <v>200</v>
      </c>
      <c r="R19" s="31"/>
      <c r="S19" s="31"/>
    </row>
    <row r="20" spans="1:19" ht="20.25" customHeight="1" x14ac:dyDescent="0.25">
      <c r="A20" s="108" t="s">
        <v>35</v>
      </c>
      <c r="B20" s="138">
        <f>+'11'!F32</f>
        <v>20139</v>
      </c>
      <c r="C20" s="139">
        <f>+'11'!G32</f>
        <v>59789.16</v>
      </c>
      <c r="D20" s="139">
        <f>+'11'!H32</f>
        <v>15733.88</v>
      </c>
      <c r="E20" s="937">
        <f>+'11'!L32</f>
        <v>20340</v>
      </c>
      <c r="F20" s="138">
        <f>+'11'!F17+'11'!F27</f>
        <v>7312</v>
      </c>
      <c r="G20" s="139">
        <f>+'11'!G17+'11'!G27</f>
        <v>10771.53</v>
      </c>
      <c r="H20" s="139">
        <f>+'11'!H17+'11'!H27</f>
        <v>6568.17</v>
      </c>
      <c r="I20" s="1187">
        <f>+'11'!L17+'11'!L27</f>
        <v>8940</v>
      </c>
      <c r="J20" s="140">
        <v>0</v>
      </c>
      <c r="K20" s="141">
        <v>0</v>
      </c>
      <c r="L20" s="171">
        <v>0</v>
      </c>
      <c r="M20" s="1187">
        <v>0</v>
      </c>
      <c r="N20" s="375">
        <f>+'11'!F16+'11'!F26</f>
        <v>4121</v>
      </c>
      <c r="O20" s="141">
        <f>+'11'!G16+'11'!G26</f>
        <v>4393.92</v>
      </c>
      <c r="P20" s="141">
        <f>+'11'!H16+'11'!H26</f>
        <v>596.55999999999995</v>
      </c>
      <c r="Q20" s="1187">
        <f>+'11'!L16+'11'!L26</f>
        <v>1770</v>
      </c>
      <c r="R20" s="31"/>
      <c r="S20" s="31"/>
    </row>
    <row r="21" spans="1:19" ht="20.25" customHeight="1" x14ac:dyDescent="0.25">
      <c r="A21" s="108" t="s">
        <v>36</v>
      </c>
      <c r="B21" s="138">
        <f>+'13'!E37</f>
        <v>2974</v>
      </c>
      <c r="C21" s="139">
        <f>+'13'!F37</f>
        <v>3695.08</v>
      </c>
      <c r="D21" s="139">
        <f>+'13'!G37</f>
        <v>1638.8</v>
      </c>
      <c r="E21" s="937">
        <f>+'13'!K37</f>
        <v>4000</v>
      </c>
      <c r="F21" s="138">
        <v>0</v>
      </c>
      <c r="G21" s="139">
        <v>0</v>
      </c>
      <c r="H21" s="139">
        <v>0</v>
      </c>
      <c r="I21" s="1187">
        <v>0</v>
      </c>
      <c r="J21" s="140">
        <v>0</v>
      </c>
      <c r="K21" s="141">
        <v>0</v>
      </c>
      <c r="L21" s="171">
        <v>0</v>
      </c>
      <c r="M21" s="1187">
        <v>0</v>
      </c>
      <c r="N21" s="375">
        <v>0</v>
      </c>
      <c r="O21" s="141">
        <v>0</v>
      </c>
      <c r="P21" s="141">
        <v>0</v>
      </c>
      <c r="Q21" s="1187">
        <v>0</v>
      </c>
      <c r="R21" s="31"/>
      <c r="S21" s="31"/>
    </row>
    <row r="22" spans="1:19" ht="20.25" customHeight="1" x14ac:dyDescent="0.25">
      <c r="A22" s="108" t="s">
        <v>54</v>
      </c>
      <c r="B22" s="138">
        <f>+'14'!F25</f>
        <v>699662</v>
      </c>
      <c r="C22" s="139">
        <f>+'14'!G25</f>
        <v>715043.1179999999</v>
      </c>
      <c r="D22" s="139">
        <f>+'14'!H25</f>
        <v>438280.68000000005</v>
      </c>
      <c r="E22" s="937">
        <f>+'14'!L25</f>
        <v>743459</v>
      </c>
      <c r="F22" s="138">
        <v>0</v>
      </c>
      <c r="G22" s="139">
        <v>0</v>
      </c>
      <c r="H22" s="139">
        <v>0</v>
      </c>
      <c r="I22" s="1187">
        <f>+'14'!P22</f>
        <v>0</v>
      </c>
      <c r="J22" s="140">
        <f>+'14'!F22</f>
        <v>661903</v>
      </c>
      <c r="K22" s="141">
        <f>+'14'!G22</f>
        <v>674886.7</v>
      </c>
      <c r="L22" s="171">
        <f>+'14'!H22</f>
        <v>416292.8</v>
      </c>
      <c r="M22" s="1187">
        <f>+'14'!L22</f>
        <v>699830</v>
      </c>
      <c r="N22" s="375">
        <v>0</v>
      </c>
      <c r="O22" s="141">
        <v>0</v>
      </c>
      <c r="P22" s="141">
        <v>0</v>
      </c>
      <c r="Q22" s="1187">
        <v>0</v>
      </c>
      <c r="R22" s="31"/>
      <c r="S22" s="31"/>
    </row>
    <row r="23" spans="1:19" ht="20.25" customHeight="1" x14ac:dyDescent="0.25">
      <c r="A23" s="113" t="s">
        <v>81</v>
      </c>
      <c r="B23" s="138">
        <f>+'15'!E10</f>
        <v>2161</v>
      </c>
      <c r="C23" s="139">
        <f>+'15'!F10</f>
        <v>6119.86</v>
      </c>
      <c r="D23" s="139">
        <f>+'15'!G10</f>
        <v>697.09</v>
      </c>
      <c r="E23" s="937">
        <f>+'15'!K10</f>
        <v>1422</v>
      </c>
      <c r="F23" s="138">
        <v>0</v>
      </c>
      <c r="G23" s="139">
        <v>0</v>
      </c>
      <c r="H23" s="139">
        <v>0</v>
      </c>
      <c r="I23" s="1187">
        <v>0</v>
      </c>
      <c r="J23" s="140">
        <v>0</v>
      </c>
      <c r="K23" s="141">
        <v>0</v>
      </c>
      <c r="L23" s="171">
        <v>0</v>
      </c>
      <c r="M23" s="1187">
        <v>0</v>
      </c>
      <c r="N23" s="375">
        <v>0</v>
      </c>
      <c r="O23" s="141">
        <v>0</v>
      </c>
      <c r="P23" s="141">
        <v>0</v>
      </c>
      <c r="Q23" s="1187">
        <v>0</v>
      </c>
      <c r="R23" s="31"/>
      <c r="S23" s="31"/>
    </row>
    <row r="24" spans="1:19" ht="20.25" customHeight="1" x14ac:dyDescent="0.25">
      <c r="A24" s="108" t="s">
        <v>55</v>
      </c>
      <c r="B24" s="138">
        <f>+'16'!E11</f>
        <v>50</v>
      </c>
      <c r="C24" s="139">
        <f>+'16'!F11</f>
        <v>21</v>
      </c>
      <c r="D24" s="139">
        <f>+'16'!G11</f>
        <v>0</v>
      </c>
      <c r="E24" s="937">
        <f>+'16'!K11</f>
        <v>100</v>
      </c>
      <c r="F24" s="138">
        <v>0</v>
      </c>
      <c r="G24" s="139">
        <v>0</v>
      </c>
      <c r="H24" s="139">
        <v>0</v>
      </c>
      <c r="I24" s="1187">
        <v>0</v>
      </c>
      <c r="J24" s="140">
        <v>0</v>
      </c>
      <c r="K24" s="141">
        <v>0</v>
      </c>
      <c r="L24" s="171">
        <v>0</v>
      </c>
      <c r="M24" s="1187">
        <v>0</v>
      </c>
      <c r="N24" s="375">
        <v>0</v>
      </c>
      <c r="O24" s="141">
        <v>0</v>
      </c>
      <c r="P24" s="141">
        <v>0</v>
      </c>
      <c r="Q24" s="1187">
        <v>0</v>
      </c>
      <c r="R24" s="31"/>
      <c r="S24" s="31"/>
    </row>
    <row r="25" spans="1:19" ht="20.25" customHeight="1" x14ac:dyDescent="0.25">
      <c r="A25" s="108" t="s">
        <v>37</v>
      </c>
      <c r="B25" s="138">
        <f>+'17'!F115</f>
        <v>559847</v>
      </c>
      <c r="C25" s="139">
        <f>+'17'!G115</f>
        <v>652044.11</v>
      </c>
      <c r="D25" s="139">
        <f>+'17'!H115</f>
        <v>464888.06000000006</v>
      </c>
      <c r="E25" s="937">
        <f>+'17'!L115</f>
        <v>535445</v>
      </c>
      <c r="F25" s="138">
        <f>+'17'!F13+'17'!F20+'17'!F26+'17'!F31+'17'!F36+'17'!F41+'17'!F46+'17'!F51+'17'!F56+'17'!F62+'17'!F67+'17'!F72+'17'!F77+'17'!F82</f>
        <v>155504</v>
      </c>
      <c r="G25" s="139">
        <f>+'17'!G13+'17'!G20+'17'!G26+'17'!G31+'17'!G36+'17'!G41+'17'!G46+'17'!G51+'17'!G56+'17'!G62+'17'!G67+'17'!G72+'17'!G77+'17'!G82</f>
        <v>155504</v>
      </c>
      <c r="H25" s="139">
        <f>+'17'!H13+'17'!H20+'17'!H26+'17'!H31+'17'!H36+'17'!H41+'17'!H46+'17'!H51+'17'!H56+'17'!H62+'17'!H67+'17'!H72+'17'!H77+'17'!H82</f>
        <v>23253.690000000002</v>
      </c>
      <c r="I25" s="1187">
        <f>+'17'!L13+'17'!L20+'17'!L26+'17'!L31+'17'!L36+'17'!L41+'17'!L46+'17'!L51+'17'!L56+'17'!L62+'17'!L67+'17'!L72+'17'!L77+'17'!L82</f>
        <v>90965</v>
      </c>
      <c r="J25" s="140">
        <f>+'17'!F11+'17'!F18+'17'!F24+'17'!F29+'17'!F34+'17'!F39+'17'!F44+'17'!F49+'17'!F54+'17'!F60+'17'!F65+'17'!F70+'17'!F75+'17'!F80</f>
        <v>232158</v>
      </c>
      <c r="K25" s="171">
        <f>+'17'!G11+'17'!G18+'17'!G24+'17'!G29+'17'!G34+'17'!G39+'17'!G44+'17'!G49+'17'!G54+'17'!G60+'17'!G65+'17'!G70+'17'!G75+'17'!G80</f>
        <v>239184.44999999998</v>
      </c>
      <c r="L25" s="171">
        <f>+'17'!H11+'17'!H18+'17'!H24+'17'!H29+'17'!H34+'17'!H39+'17'!H44+'17'!H49+'17'!H54+'17'!H60+'17'!H65+'17'!H70+'17'!H75+'17'!H80</f>
        <v>238939.12</v>
      </c>
      <c r="M25" s="1187">
        <f>+'17'!L80+'17'!L75+'17'!L70+'17'!L65+'17'!L60+'17'!L54+'17'!L49+'17'!L44+'17'!L39+'17'!L34+'17'!L29+'17'!L24+'17'!L18+'17'!L11</f>
        <v>269320</v>
      </c>
      <c r="N25" s="375">
        <f>+'17'!F12+'17'!F19+'17'!F25+'17'!F30+'17'!F35+'17'!F40+'17'!F45+'17'!F50+'17'!F55+'17'!F61+'17'!F66+'17'!F71+'17'!F76+'17'!F81+'17'!F109</f>
        <v>39520</v>
      </c>
      <c r="O25" s="141">
        <f>+'17'!G12+'17'!G19+'17'!G25+'17'!G30+'17'!G35+'17'!G40+'17'!G45+'17'!G50+'17'!G55+'17'!G61+'17'!G66+'17'!G71+'17'!G76+'17'!G81+'17'!G109</f>
        <v>38956.130000000005</v>
      </c>
      <c r="P25" s="141">
        <f>+'17'!H12+'17'!H19+'17'!H25+'17'!H30+'17'!H35+'17'!H40+'17'!H45+'17'!H50+'17'!H55+'17'!H61+'17'!H66+'17'!H71+'17'!H76+'17'!H81+'17'!H109</f>
        <v>20022.669999999998</v>
      </c>
      <c r="Q25" s="1187">
        <f>+'17'!L12+'17'!L19+'17'!L25+'17'!L30+'17'!L35+'17'!L40+'17'!L45+'17'!L50+'17'!L55+'17'!L61+'17'!L66+'17'!L71+'17'!L76+'17'!L81+'17'!L109</f>
        <v>51260</v>
      </c>
      <c r="R25" s="31"/>
      <c r="S25" s="31"/>
    </row>
    <row r="26" spans="1:19" ht="20.25" customHeight="1" x14ac:dyDescent="0.25">
      <c r="A26" s="113" t="s">
        <v>82</v>
      </c>
      <c r="B26" s="138">
        <f>+'18'!E17</f>
        <v>3945</v>
      </c>
      <c r="C26" s="139">
        <f>+'18'!F17</f>
        <v>4900</v>
      </c>
      <c r="D26" s="139">
        <f>+'18'!G17</f>
        <v>2179.4899999999998</v>
      </c>
      <c r="E26" s="937">
        <f>+'18'!K17</f>
        <v>3984</v>
      </c>
      <c r="F26" s="138">
        <v>0</v>
      </c>
      <c r="G26" s="139">
        <v>0</v>
      </c>
      <c r="H26" s="139">
        <v>0</v>
      </c>
      <c r="I26" s="1187">
        <v>0</v>
      </c>
      <c r="J26" s="140">
        <v>0</v>
      </c>
      <c r="K26" s="141">
        <v>0</v>
      </c>
      <c r="L26" s="171">
        <v>0</v>
      </c>
      <c r="M26" s="1187">
        <v>0</v>
      </c>
      <c r="N26" s="375">
        <v>0</v>
      </c>
      <c r="O26" s="141">
        <v>0</v>
      </c>
      <c r="P26" s="141">
        <v>0</v>
      </c>
      <c r="Q26" s="1187">
        <v>0</v>
      </c>
      <c r="R26" s="31"/>
      <c r="S26" s="31"/>
    </row>
    <row r="27" spans="1:19" ht="20.25" customHeight="1" x14ac:dyDescent="0.25">
      <c r="A27" s="113" t="s">
        <v>66</v>
      </c>
      <c r="B27" s="138">
        <v>0</v>
      </c>
      <c r="C27" s="139">
        <v>27436.17</v>
      </c>
      <c r="D27" s="139">
        <v>15691.53</v>
      </c>
      <c r="E27" s="937">
        <v>0</v>
      </c>
      <c r="F27" s="138">
        <v>0</v>
      </c>
      <c r="G27" s="139">
        <v>0</v>
      </c>
      <c r="H27" s="139">
        <v>0</v>
      </c>
      <c r="I27" s="1187">
        <v>0</v>
      </c>
      <c r="J27" s="140">
        <v>0</v>
      </c>
      <c r="K27" s="141">
        <v>0</v>
      </c>
      <c r="L27" s="171">
        <v>0</v>
      </c>
      <c r="M27" s="1187">
        <v>0</v>
      </c>
      <c r="N27" s="375">
        <v>0</v>
      </c>
      <c r="O27" s="141">
        <v>0</v>
      </c>
      <c r="P27" s="141">
        <v>0</v>
      </c>
      <c r="Q27" s="1187">
        <v>0</v>
      </c>
      <c r="R27" s="31"/>
      <c r="S27" s="31"/>
    </row>
    <row r="28" spans="1:19" ht="20.25" customHeight="1" x14ac:dyDescent="0.25">
      <c r="A28" s="108" t="s">
        <v>38</v>
      </c>
      <c r="B28" s="138">
        <f>+'23'!E12</f>
        <v>9150</v>
      </c>
      <c r="C28" s="139">
        <f>+'23'!F12</f>
        <v>45471.49</v>
      </c>
      <c r="D28" s="139">
        <f>+'23'!G12</f>
        <v>38651.93</v>
      </c>
      <c r="E28" s="937">
        <f>+'23'!K12</f>
        <v>9242</v>
      </c>
      <c r="F28" s="138">
        <v>0</v>
      </c>
      <c r="G28" s="139">
        <v>0</v>
      </c>
      <c r="H28" s="139">
        <v>0</v>
      </c>
      <c r="I28" s="1187">
        <v>0</v>
      </c>
      <c r="J28" s="140">
        <v>0</v>
      </c>
      <c r="K28" s="141">
        <v>0</v>
      </c>
      <c r="L28" s="171">
        <v>0</v>
      </c>
      <c r="M28" s="1187">
        <v>0</v>
      </c>
      <c r="N28" s="375">
        <v>0</v>
      </c>
      <c r="O28" s="141">
        <v>0</v>
      </c>
      <c r="P28" s="141">
        <v>0</v>
      </c>
      <c r="Q28" s="1187">
        <v>0</v>
      </c>
      <c r="R28" s="31"/>
      <c r="S28" s="31"/>
    </row>
    <row r="29" spans="1:19" ht="20.25" customHeight="1" x14ac:dyDescent="0.25">
      <c r="A29" s="347" t="s">
        <v>83</v>
      </c>
      <c r="B29" s="138">
        <f>+'24'!E12</f>
        <v>6810</v>
      </c>
      <c r="C29" s="139">
        <f>+'24'!F12</f>
        <v>8150.5</v>
      </c>
      <c r="D29" s="139">
        <f>+'24'!G12</f>
        <v>4297.55</v>
      </c>
      <c r="E29" s="1185">
        <f>+'24'!K12</f>
        <v>6878</v>
      </c>
      <c r="F29" s="138">
        <v>0</v>
      </c>
      <c r="G29" s="139">
        <v>0</v>
      </c>
      <c r="H29" s="139">
        <v>0</v>
      </c>
      <c r="I29" s="1188">
        <v>0</v>
      </c>
      <c r="J29" s="140">
        <v>0</v>
      </c>
      <c r="K29" s="141">
        <v>0</v>
      </c>
      <c r="L29" s="171">
        <v>0</v>
      </c>
      <c r="M29" s="1188">
        <v>0</v>
      </c>
      <c r="N29" s="375">
        <v>0</v>
      </c>
      <c r="O29" s="141">
        <v>0</v>
      </c>
      <c r="P29" s="141">
        <v>0</v>
      </c>
      <c r="Q29" s="1188">
        <v>0</v>
      </c>
      <c r="R29" s="31"/>
      <c r="S29" s="31"/>
    </row>
    <row r="30" spans="1:19" ht="20.25" customHeight="1" x14ac:dyDescent="0.25">
      <c r="A30" s="347" t="s">
        <v>84</v>
      </c>
      <c r="B30" s="138">
        <f>+'25'!F22</f>
        <v>17699</v>
      </c>
      <c r="C30" s="139">
        <f>+'25'!G22</f>
        <v>20723.810000000001</v>
      </c>
      <c r="D30" s="139">
        <f>+'25'!H22</f>
        <v>10167.93</v>
      </c>
      <c r="E30" s="1185">
        <f>+'25'!L22</f>
        <v>18326</v>
      </c>
      <c r="F30" s="138">
        <v>0</v>
      </c>
      <c r="G30" s="139">
        <v>0</v>
      </c>
      <c r="H30" s="139">
        <v>0</v>
      </c>
      <c r="I30" s="1188">
        <v>0</v>
      </c>
      <c r="J30" s="140">
        <v>0</v>
      </c>
      <c r="K30" s="141">
        <v>0</v>
      </c>
      <c r="L30" s="171">
        <v>0</v>
      </c>
      <c r="M30" s="1188">
        <v>0</v>
      </c>
      <c r="N30" s="375">
        <v>0</v>
      </c>
      <c r="O30" s="141">
        <f>+'25'!G20</f>
        <v>129.18</v>
      </c>
      <c r="P30" s="141">
        <f>+'25'!H20</f>
        <v>104.53</v>
      </c>
      <c r="Q30" s="1188">
        <v>0</v>
      </c>
      <c r="R30" s="31"/>
      <c r="S30" s="31"/>
    </row>
    <row r="31" spans="1:19" ht="20.25" customHeight="1" x14ac:dyDescent="0.25">
      <c r="A31" s="347" t="s">
        <v>286</v>
      </c>
      <c r="B31" s="138">
        <f>+'26'!F36</f>
        <v>4096369</v>
      </c>
      <c r="C31" s="139">
        <f>+'26'!G36</f>
        <v>4807565.41</v>
      </c>
      <c r="D31" s="139">
        <f>+'26'!H36</f>
        <v>3859244.2600000002</v>
      </c>
      <c r="E31" s="1185">
        <f>+'26'!L36</f>
        <v>5330594</v>
      </c>
      <c r="F31" s="138">
        <v>0</v>
      </c>
      <c r="G31" s="139">
        <f>+'26'!G16</f>
        <v>1550</v>
      </c>
      <c r="H31" s="139">
        <f>+'26'!H16</f>
        <v>1162.5</v>
      </c>
      <c r="I31" s="1188">
        <f>+'26'!L16</f>
        <v>1550</v>
      </c>
      <c r="J31" s="140">
        <f>+'26'!F14</f>
        <v>61821</v>
      </c>
      <c r="K31" s="141">
        <f>+'26'!G14</f>
        <v>61821</v>
      </c>
      <c r="L31" s="171">
        <f>+'26'!H14</f>
        <v>46440</v>
      </c>
      <c r="M31" s="1188">
        <f>+'26'!L14</f>
        <v>70000</v>
      </c>
      <c r="N31" s="375">
        <f>+'26'!F15+'26'!F19+'26'!F20</f>
        <v>21425</v>
      </c>
      <c r="O31" s="141">
        <f>+'26'!G15+'26'!G19+'26'!G20</f>
        <v>21425</v>
      </c>
      <c r="P31" s="141">
        <f>+'26'!H15+'26'!H19+'26'!H20</f>
        <v>425</v>
      </c>
      <c r="Q31" s="1188">
        <f>+'26'!L15+'26'!L20+'26'!L19</f>
        <v>21430</v>
      </c>
      <c r="R31" s="31"/>
      <c r="S31" s="31"/>
    </row>
    <row r="32" spans="1:19" ht="20.25" customHeight="1" thickBot="1" x14ac:dyDescent="0.3">
      <c r="A32" s="347" t="s">
        <v>287</v>
      </c>
      <c r="B32" s="803">
        <f>+'27'!F15</f>
        <v>15000</v>
      </c>
      <c r="C32" s="805">
        <f>+'27'!G15</f>
        <v>15466.160000000002</v>
      </c>
      <c r="D32" s="805">
        <f>+'27'!H15</f>
        <v>830.71999999999991</v>
      </c>
      <c r="E32" s="1185">
        <f>+'27'!L15</f>
        <v>15150</v>
      </c>
      <c r="F32" s="138">
        <v>0</v>
      </c>
      <c r="G32" s="139">
        <v>0</v>
      </c>
      <c r="H32" s="139">
        <v>0</v>
      </c>
      <c r="I32" s="1188">
        <v>0</v>
      </c>
      <c r="J32" s="140">
        <v>0</v>
      </c>
      <c r="K32" s="141">
        <v>0</v>
      </c>
      <c r="L32" s="171">
        <v>0</v>
      </c>
      <c r="M32" s="1188">
        <v>0</v>
      </c>
      <c r="N32" s="375">
        <v>0</v>
      </c>
      <c r="O32" s="141">
        <v>0</v>
      </c>
      <c r="P32" s="141">
        <v>0</v>
      </c>
      <c r="Q32" s="1188">
        <v>0</v>
      </c>
      <c r="R32" s="31"/>
      <c r="S32" s="31"/>
    </row>
    <row r="33" spans="1:19" s="35" customFormat="1" ht="30" customHeight="1" thickBot="1" x14ac:dyDescent="0.3">
      <c r="A33" s="421" t="s">
        <v>85</v>
      </c>
      <c r="B33" s="422">
        <f t="shared" ref="B33:K33" si="0">SUM(B10:B32)</f>
        <v>10507832</v>
      </c>
      <c r="C33" s="423">
        <f t="shared" si="0"/>
        <v>11952392.628</v>
      </c>
      <c r="D33" s="424">
        <f t="shared" si="0"/>
        <v>9113419.3699999992</v>
      </c>
      <c r="E33" s="938">
        <f>SUM(E10:E32)</f>
        <v>12438008</v>
      </c>
      <c r="F33" s="1012">
        <f>SUM(F10:F32)</f>
        <v>619044</v>
      </c>
      <c r="G33" s="1013">
        <f t="shared" ref="G33:H33" si="1">SUM(G10:G32)</f>
        <v>620382.3600000001</v>
      </c>
      <c r="H33" s="1014">
        <f t="shared" si="1"/>
        <v>379497.51999999996</v>
      </c>
      <c r="I33" s="1189">
        <f t="shared" ref="I33" si="2">SUM(I10:I32)</f>
        <v>530728</v>
      </c>
      <c r="J33" s="1015">
        <f t="shared" si="0"/>
        <v>2333564</v>
      </c>
      <c r="K33" s="1013">
        <f t="shared" si="0"/>
        <v>2304974.59</v>
      </c>
      <c r="L33" s="1014">
        <f t="shared" ref="L33:Q33" si="3">SUM(L10:L32)</f>
        <v>1708630.6999999997</v>
      </c>
      <c r="M33" s="1189">
        <f t="shared" si="3"/>
        <v>2346376</v>
      </c>
      <c r="N33" s="1016">
        <f t="shared" si="3"/>
        <v>2009216</v>
      </c>
      <c r="O33" s="1013">
        <f t="shared" si="3"/>
        <v>2558009.2999999998</v>
      </c>
      <c r="P33" s="1014">
        <f t="shared" si="3"/>
        <v>2054317.01</v>
      </c>
      <c r="Q33" s="1189">
        <f t="shared" si="3"/>
        <v>2751740</v>
      </c>
      <c r="R33" s="31"/>
      <c r="S33" s="31"/>
    </row>
    <row r="34" spans="1:19" x14ac:dyDescent="0.2">
      <c r="B34" s="31"/>
      <c r="F34" s="31"/>
      <c r="N34" s="31"/>
      <c r="P34" s="31"/>
      <c r="Q34" s="40"/>
      <c r="S34" s="31"/>
    </row>
    <row r="35" spans="1:19" x14ac:dyDescent="0.2">
      <c r="B35" s="31"/>
      <c r="F35" s="31"/>
      <c r="J35" s="31"/>
      <c r="N35" s="31"/>
      <c r="P35" s="31"/>
      <c r="Q35" s="31"/>
      <c r="S35" s="31"/>
    </row>
    <row r="36" spans="1:19" x14ac:dyDescent="0.2">
      <c r="A36" s="416"/>
      <c r="B36" s="416"/>
      <c r="C36" s="416"/>
      <c r="D36" s="416"/>
      <c r="E36" s="900"/>
      <c r="F36" s="416"/>
      <c r="G36" s="416"/>
      <c r="H36" s="416"/>
      <c r="I36" s="901"/>
      <c r="J36" s="416"/>
      <c r="K36" s="416"/>
      <c r="L36" s="416"/>
      <c r="M36" s="900"/>
    </row>
    <row r="37" spans="1:19" x14ac:dyDescent="0.2">
      <c r="I37" s="902"/>
      <c r="J37" s="31"/>
    </row>
  </sheetData>
  <mergeCells count="13">
    <mergeCell ref="B7:E7"/>
    <mergeCell ref="J7:M7"/>
    <mergeCell ref="N7:Q7"/>
    <mergeCell ref="A7:A9"/>
    <mergeCell ref="B8:D8"/>
    <mergeCell ref="E8:E9"/>
    <mergeCell ref="J8:L8"/>
    <mergeCell ref="M8:M9"/>
    <mergeCell ref="N8:P8"/>
    <mergeCell ref="Q8:Q9"/>
    <mergeCell ref="F7:I7"/>
    <mergeCell ref="F8:H8"/>
    <mergeCell ref="I8:I9"/>
  </mergeCells>
  <pageMargins left="0.70866141732283472" right="0.70866141732283472" top="0.78740157480314965" bottom="0.78740157480314965" header="0.31496062992125984" footer="0.31496062992125984"/>
  <pageSetup paperSize="9" scale="4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E297"/>
  <sheetViews>
    <sheetView zoomScaleNormal="100" workbookViewId="0"/>
  </sheetViews>
  <sheetFormatPr defaultColWidth="9.140625" defaultRowHeight="12.75" x14ac:dyDescent="0.2"/>
  <cols>
    <col min="1" max="1" width="70.7109375" style="29" customWidth="1"/>
    <col min="2" max="5" width="20.7109375" style="40" customWidth="1"/>
    <col min="6" max="16384" width="9.140625" style="29"/>
  </cols>
  <sheetData>
    <row r="1" spans="1:5" ht="16.5" customHeight="1" x14ac:dyDescent="0.2"/>
    <row r="2" spans="1:5" ht="20.100000000000001" customHeight="1" x14ac:dyDescent="0.35">
      <c r="A2" s="27" t="s">
        <v>486</v>
      </c>
    </row>
    <row r="3" spans="1:5" ht="15" customHeight="1" x14ac:dyDescent="0.2"/>
    <row r="4" spans="1:5" ht="20.100000000000001" customHeight="1" x14ac:dyDescent="0.3">
      <c r="A4" s="39" t="s">
        <v>384</v>
      </c>
    </row>
    <row r="5" spans="1:5" ht="15" customHeight="1" x14ac:dyDescent="0.3">
      <c r="A5" s="39"/>
    </row>
    <row r="6" spans="1:5" ht="15" customHeight="1" thickBot="1" x14ac:dyDescent="0.3">
      <c r="E6" s="45" t="s">
        <v>0</v>
      </c>
    </row>
    <row r="7" spans="1:5" s="71" customFormat="1" ht="18.75" customHeight="1" thickBot="1" x14ac:dyDescent="0.25">
      <c r="A7" s="1448" t="s">
        <v>25</v>
      </c>
      <c r="B7" s="1450" t="s">
        <v>484</v>
      </c>
      <c r="C7" s="1451"/>
      <c r="D7" s="1451"/>
      <c r="E7" s="1452"/>
    </row>
    <row r="8" spans="1:5" ht="30" customHeight="1" thickBot="1" x14ac:dyDescent="0.25">
      <c r="A8" s="1449"/>
      <c r="B8" s="262" t="s">
        <v>125</v>
      </c>
      <c r="C8" s="261" t="s">
        <v>332</v>
      </c>
      <c r="D8" s="263" t="s">
        <v>331</v>
      </c>
      <c r="E8" s="264" t="s">
        <v>85</v>
      </c>
    </row>
    <row r="9" spans="1:5" ht="20.25" customHeight="1" x14ac:dyDescent="0.25">
      <c r="A9" s="134" t="s">
        <v>97</v>
      </c>
      <c r="B9" s="136">
        <f>+'01'!I19</f>
        <v>68197</v>
      </c>
      <c r="C9" s="112">
        <f>+'01'!J19</f>
        <v>8846</v>
      </c>
      <c r="D9" s="137">
        <f>+'01'!K19</f>
        <v>1089</v>
      </c>
      <c r="E9" s="208">
        <f>B9+C9+D9</f>
        <v>78132</v>
      </c>
    </row>
    <row r="10" spans="1:5" ht="20.25" customHeight="1" x14ac:dyDescent="0.25">
      <c r="A10" s="135" t="s">
        <v>98</v>
      </c>
      <c r="B10" s="136">
        <f>+'02'!I31</f>
        <v>73338</v>
      </c>
      <c r="C10" s="112">
        <f>+'02'!J31</f>
        <v>10266</v>
      </c>
      <c r="D10" s="137">
        <f>+'02'!K31</f>
        <v>3005</v>
      </c>
      <c r="E10" s="209">
        <f t="shared" ref="E10:E30" si="0">B10+C10+D10</f>
        <v>86609</v>
      </c>
    </row>
    <row r="11" spans="1:5" ht="20.25" customHeight="1" x14ac:dyDescent="0.25">
      <c r="A11" s="135" t="s">
        <v>28</v>
      </c>
      <c r="B11" s="136">
        <f>+'03'!I12</f>
        <v>55627</v>
      </c>
      <c r="C11" s="112">
        <f>+'03'!J12</f>
        <v>5015</v>
      </c>
      <c r="D11" s="137">
        <f>+'03'!K12</f>
        <v>232</v>
      </c>
      <c r="E11" s="209">
        <f t="shared" si="0"/>
        <v>60874</v>
      </c>
    </row>
    <row r="12" spans="1:5" ht="20.25" customHeight="1" x14ac:dyDescent="0.25">
      <c r="A12" s="135" t="s">
        <v>29</v>
      </c>
      <c r="B12" s="136">
        <f>+'04'!I20</f>
        <v>2609997</v>
      </c>
      <c r="C12" s="112">
        <f>+'04'!J20</f>
        <v>227583</v>
      </c>
      <c r="D12" s="137">
        <f>+'04'!K20</f>
        <v>9742</v>
      </c>
      <c r="E12" s="209">
        <f t="shared" si="0"/>
        <v>2847322</v>
      </c>
    </row>
    <row r="13" spans="1:5" ht="20.25" customHeight="1" x14ac:dyDescent="0.25">
      <c r="A13" s="135" t="s">
        <v>95</v>
      </c>
      <c r="B13" s="136">
        <f>+'05'!I115</f>
        <v>877064</v>
      </c>
      <c r="C13" s="112">
        <f>+'05'!J115</f>
        <v>213579</v>
      </c>
      <c r="D13" s="137">
        <f>+'05'!K115</f>
        <v>80000</v>
      </c>
      <c r="E13" s="209">
        <f t="shared" si="0"/>
        <v>1170643</v>
      </c>
    </row>
    <row r="14" spans="1:5" ht="20.25" customHeight="1" x14ac:dyDescent="0.25">
      <c r="A14" s="135" t="s">
        <v>30</v>
      </c>
      <c r="B14" s="136">
        <f>+'06'!I87</f>
        <v>440821</v>
      </c>
      <c r="C14" s="112">
        <f>+'06'!J87</f>
        <v>70558</v>
      </c>
      <c r="D14" s="137">
        <f>+'06'!K87</f>
        <v>37197</v>
      </c>
      <c r="E14" s="209">
        <f t="shared" si="0"/>
        <v>548576</v>
      </c>
    </row>
    <row r="15" spans="1:5" ht="20.25" customHeight="1" x14ac:dyDescent="0.25">
      <c r="A15" s="135" t="s">
        <v>31</v>
      </c>
      <c r="B15" s="136">
        <f>+'07'!I27</f>
        <v>693408</v>
      </c>
      <c r="C15" s="112">
        <f>+'07'!J27</f>
        <v>81576</v>
      </c>
      <c r="D15" s="137">
        <f>+'07'!K27</f>
        <v>40788</v>
      </c>
      <c r="E15" s="209">
        <f t="shared" si="0"/>
        <v>815772</v>
      </c>
    </row>
    <row r="16" spans="1:5" ht="20.25" customHeight="1" x14ac:dyDescent="0.25">
      <c r="A16" s="135" t="s">
        <v>32</v>
      </c>
      <c r="B16" s="136">
        <f>+'08'!I23</f>
        <v>7018</v>
      </c>
      <c r="C16" s="112">
        <f>+'08'!J23</f>
        <v>10200</v>
      </c>
      <c r="D16" s="137">
        <f>+'08'!K23</f>
        <v>0</v>
      </c>
      <c r="E16" s="209">
        <f t="shared" si="0"/>
        <v>17218</v>
      </c>
    </row>
    <row r="17" spans="1:5" ht="20.25" customHeight="1" x14ac:dyDescent="0.25">
      <c r="A17" s="135" t="s">
        <v>33</v>
      </c>
      <c r="B17" s="136">
        <f>+'09'!I29</f>
        <v>71751</v>
      </c>
      <c r="C17" s="112">
        <f>+'09'!J29</f>
        <v>0</v>
      </c>
      <c r="D17" s="137">
        <f>+'09'!K29</f>
        <v>4700</v>
      </c>
      <c r="E17" s="209">
        <f t="shared" si="0"/>
        <v>76451</v>
      </c>
    </row>
    <row r="18" spans="1:5" ht="20.25" customHeight="1" x14ac:dyDescent="0.25">
      <c r="A18" s="135" t="s">
        <v>34</v>
      </c>
      <c r="B18" s="136">
        <f>+'10'!I23</f>
        <v>24916</v>
      </c>
      <c r="C18" s="112">
        <f>+'10'!J23</f>
        <v>20115</v>
      </c>
      <c r="D18" s="137">
        <f>+'10'!K23</f>
        <v>2440</v>
      </c>
      <c r="E18" s="209">
        <f t="shared" si="0"/>
        <v>47471</v>
      </c>
    </row>
    <row r="19" spans="1:5" ht="20.25" customHeight="1" x14ac:dyDescent="0.25">
      <c r="A19" s="135" t="s">
        <v>35</v>
      </c>
      <c r="B19" s="136">
        <f>+'11'!I32</f>
        <v>19946</v>
      </c>
      <c r="C19" s="112">
        <f>+'11'!J32</f>
        <v>279</v>
      </c>
      <c r="D19" s="137">
        <f>+'11'!K32</f>
        <v>115</v>
      </c>
      <c r="E19" s="209">
        <f t="shared" si="0"/>
        <v>20340</v>
      </c>
    </row>
    <row r="20" spans="1:5" ht="20.25" customHeight="1" x14ac:dyDescent="0.25">
      <c r="A20" s="135" t="s">
        <v>36</v>
      </c>
      <c r="B20" s="136">
        <f>+'13'!H37</f>
        <v>4000</v>
      </c>
      <c r="C20" s="112">
        <f>+'13'!I37</f>
        <v>0</v>
      </c>
      <c r="D20" s="137">
        <f>+'13'!J37</f>
        <v>0</v>
      </c>
      <c r="E20" s="209">
        <f t="shared" si="0"/>
        <v>4000</v>
      </c>
    </row>
    <row r="21" spans="1:5" ht="20.25" customHeight="1" x14ac:dyDescent="0.25">
      <c r="A21" s="106" t="s">
        <v>54</v>
      </c>
      <c r="B21" s="136">
        <f>+'14'!I25</f>
        <v>711107</v>
      </c>
      <c r="C21" s="112">
        <f>+'14'!J25</f>
        <v>20422</v>
      </c>
      <c r="D21" s="137">
        <f>+'14'!K25</f>
        <v>11930</v>
      </c>
      <c r="E21" s="209">
        <f t="shared" si="0"/>
        <v>743459</v>
      </c>
    </row>
    <row r="22" spans="1:5" ht="20.25" customHeight="1" x14ac:dyDescent="0.25">
      <c r="A22" s="106" t="s">
        <v>81</v>
      </c>
      <c r="B22" s="136">
        <f>+'15'!H10</f>
        <v>1422</v>
      </c>
      <c r="C22" s="112">
        <f>+'15'!I10</f>
        <v>0</v>
      </c>
      <c r="D22" s="137">
        <f>+'15'!J10</f>
        <v>0</v>
      </c>
      <c r="E22" s="209">
        <f t="shared" si="0"/>
        <v>1422</v>
      </c>
    </row>
    <row r="23" spans="1:5" ht="20.25" customHeight="1" x14ac:dyDescent="0.25">
      <c r="A23" s="106" t="s">
        <v>55</v>
      </c>
      <c r="B23" s="136">
        <f>+'16'!H11</f>
        <v>66</v>
      </c>
      <c r="C23" s="112">
        <f>+'16'!I11</f>
        <v>20</v>
      </c>
      <c r="D23" s="137">
        <f>+'16'!J11</f>
        <v>14</v>
      </c>
      <c r="E23" s="209">
        <f>+'16'!K11</f>
        <v>100</v>
      </c>
    </row>
    <row r="24" spans="1:5" ht="20.25" customHeight="1" x14ac:dyDescent="0.25">
      <c r="A24" s="135" t="s">
        <v>37</v>
      </c>
      <c r="B24" s="136">
        <f>+'17'!I115</f>
        <v>461054</v>
      </c>
      <c r="C24" s="112">
        <f>+'17'!J115</f>
        <v>49549</v>
      </c>
      <c r="D24" s="137">
        <f>+'17'!K115</f>
        <v>24842</v>
      </c>
      <c r="E24" s="209">
        <f t="shared" si="0"/>
        <v>535445</v>
      </c>
    </row>
    <row r="25" spans="1:5" ht="20.25" customHeight="1" x14ac:dyDescent="0.25">
      <c r="A25" s="106" t="s">
        <v>82</v>
      </c>
      <c r="B25" s="136">
        <f>+'18'!H17</f>
        <v>3390</v>
      </c>
      <c r="C25" s="112">
        <f>+'18'!I17</f>
        <v>390</v>
      </c>
      <c r="D25" s="137">
        <f>+'18'!J17</f>
        <v>204</v>
      </c>
      <c r="E25" s="209">
        <f t="shared" si="0"/>
        <v>3984</v>
      </c>
    </row>
    <row r="26" spans="1:5" ht="20.25" customHeight="1" x14ac:dyDescent="0.25">
      <c r="A26" s="135" t="s">
        <v>38</v>
      </c>
      <c r="B26" s="136">
        <f>+'23'!H12</f>
        <v>9022</v>
      </c>
      <c r="C26" s="112">
        <f>+'23'!I12</f>
        <v>100</v>
      </c>
      <c r="D26" s="137">
        <f>+'23'!J12</f>
        <v>120</v>
      </c>
      <c r="E26" s="209">
        <f t="shared" si="0"/>
        <v>9242</v>
      </c>
    </row>
    <row r="27" spans="1:5" ht="20.25" customHeight="1" x14ac:dyDescent="0.25">
      <c r="A27" s="333" t="s">
        <v>83</v>
      </c>
      <c r="B27" s="136">
        <f>+'24'!H12</f>
        <v>0</v>
      </c>
      <c r="C27" s="112">
        <f>+'24'!I12</f>
        <v>0</v>
      </c>
      <c r="D27" s="137">
        <f>+'24'!J12</f>
        <v>6878</v>
      </c>
      <c r="E27" s="209">
        <f t="shared" si="0"/>
        <v>6878</v>
      </c>
    </row>
    <row r="28" spans="1:5" ht="20.25" customHeight="1" x14ac:dyDescent="0.25">
      <c r="A28" s="113" t="s">
        <v>84</v>
      </c>
      <c r="B28" s="136">
        <f>+'25'!I22</f>
        <v>17527</v>
      </c>
      <c r="C28" s="112">
        <f>+'25'!J22</f>
        <v>200</v>
      </c>
      <c r="D28" s="137">
        <f>+'25'!K22</f>
        <v>599</v>
      </c>
      <c r="E28" s="209">
        <f t="shared" si="0"/>
        <v>18326</v>
      </c>
    </row>
    <row r="29" spans="1:5" ht="20.25" customHeight="1" x14ac:dyDescent="0.25">
      <c r="A29" s="429" t="s">
        <v>286</v>
      </c>
      <c r="B29" s="136">
        <f>+'26'!I36</f>
        <v>4531008</v>
      </c>
      <c r="C29" s="112">
        <f>+'26'!J36</f>
        <v>533059</v>
      </c>
      <c r="D29" s="137">
        <f>+'26'!K36</f>
        <v>266527</v>
      </c>
      <c r="E29" s="209">
        <f t="shared" si="0"/>
        <v>5330594</v>
      </c>
    </row>
    <row r="30" spans="1:5" ht="20.25" customHeight="1" thickBot="1" x14ac:dyDescent="0.3">
      <c r="A30" s="347" t="s">
        <v>287</v>
      </c>
      <c r="B30" s="136">
        <f>+'27'!I15</f>
        <v>12000</v>
      </c>
      <c r="C30" s="112">
        <f>+'27'!J15</f>
        <v>1500</v>
      </c>
      <c r="D30" s="137">
        <f>+'27'!K15</f>
        <v>1650</v>
      </c>
      <c r="E30" s="425">
        <f t="shared" si="0"/>
        <v>15150</v>
      </c>
    </row>
    <row r="31" spans="1:5" s="35" customFormat="1" ht="30.75" customHeight="1" thickBot="1" x14ac:dyDescent="0.3">
      <c r="A31" s="426" t="s">
        <v>59</v>
      </c>
      <c r="B31" s="266">
        <f>SUM(B9:B30)</f>
        <v>10692679</v>
      </c>
      <c r="C31" s="207">
        <f>SUM(C9:C30)</f>
        <v>1253257</v>
      </c>
      <c r="D31" s="427">
        <f>SUM(D9:D30)</f>
        <v>492072</v>
      </c>
      <c r="E31" s="428">
        <f>SUM(E9:E30)</f>
        <v>12438008</v>
      </c>
    </row>
    <row r="32" spans="1:5" x14ac:dyDescent="0.2">
      <c r="B32" s="31"/>
      <c r="C32" s="31"/>
      <c r="D32" s="31"/>
    </row>
    <row r="33" spans="2:4" x14ac:dyDescent="0.2">
      <c r="B33" s="31"/>
      <c r="C33" s="31"/>
      <c r="D33" s="31"/>
    </row>
    <row r="297" spans="1:1" s="40" customFormat="1" x14ac:dyDescent="0.2">
      <c r="A297" s="44"/>
    </row>
  </sheetData>
  <mergeCells count="2">
    <mergeCell ref="A7:A8"/>
    <mergeCell ref="B7:E7"/>
  </mergeCells>
  <pageMargins left="0.70866141732283472" right="0.70866141732283472" top="0.78740157480314965" bottom="0.78740157480314965"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40"/>
  <sheetViews>
    <sheetView workbookViewId="0"/>
  </sheetViews>
  <sheetFormatPr defaultColWidth="9.140625" defaultRowHeight="12.75" x14ac:dyDescent="0.2"/>
  <cols>
    <col min="1" max="1" width="9.7109375" style="71" customWidth="1"/>
    <col min="2" max="2" width="60.7109375" style="71" customWidth="1"/>
    <col min="3" max="3" width="16.7109375" style="330" customWidth="1"/>
    <col min="4" max="4" width="16.7109375" style="331" customWidth="1"/>
    <col min="5" max="5" width="16.7109375" style="330" customWidth="1"/>
    <col min="6" max="8" width="16.7109375" style="331" customWidth="1"/>
    <col min="9" max="9" width="10.7109375" style="332" customWidth="1"/>
    <col min="10" max="16384" width="9.140625" style="71"/>
  </cols>
  <sheetData>
    <row r="1" spans="1:10" s="57" customFormat="1" ht="15" customHeight="1" x14ac:dyDescent="0.2">
      <c r="A1" s="399"/>
      <c r="B1" s="741"/>
      <c r="D1" s="624"/>
      <c r="F1" s="624"/>
      <c r="G1" s="624"/>
      <c r="H1" s="624"/>
    </row>
    <row r="2" spans="1:10" s="57" customFormat="1" ht="24" customHeight="1" x14ac:dyDescent="0.2">
      <c r="A2" s="399" t="s">
        <v>486</v>
      </c>
      <c r="B2" s="741"/>
      <c r="D2" s="624"/>
      <c r="F2" s="624"/>
      <c r="G2" s="624"/>
      <c r="H2" s="624"/>
    </row>
    <row r="3" spans="1:10" s="743" customFormat="1" ht="15" customHeight="1" x14ac:dyDescent="0.2">
      <c r="A3" s="742"/>
      <c r="D3" s="744"/>
      <c r="H3" s="744"/>
    </row>
    <row r="4" spans="1:10" s="743" customFormat="1" ht="20.100000000000001" customHeight="1" x14ac:dyDescent="0.2">
      <c r="A4" s="1233" t="s">
        <v>70</v>
      </c>
      <c r="B4" s="1234"/>
      <c r="C4" s="745"/>
      <c r="D4" s="331"/>
      <c r="E4" s="745"/>
      <c r="H4" s="744"/>
    </row>
    <row r="5" spans="1:10" ht="15" customHeight="1" x14ac:dyDescent="0.2">
      <c r="B5" s="605"/>
    </row>
    <row r="6" spans="1:10" ht="15" customHeight="1" thickBot="1" x14ac:dyDescent="0.25">
      <c r="I6" s="746" t="s">
        <v>0</v>
      </c>
    </row>
    <row r="7" spans="1:10" ht="15.95" customHeight="1" x14ac:dyDescent="0.2">
      <c r="A7" s="1235" t="s">
        <v>1</v>
      </c>
      <c r="B7" s="1231" t="s">
        <v>1</v>
      </c>
      <c r="C7" s="1208" t="s">
        <v>283</v>
      </c>
      <c r="D7" s="1209"/>
      <c r="E7" s="1208" t="s">
        <v>390</v>
      </c>
      <c r="F7" s="1212"/>
      <c r="G7" s="1209"/>
      <c r="H7" s="1213" t="s">
        <v>484</v>
      </c>
      <c r="I7" s="1215" t="s">
        <v>485</v>
      </c>
    </row>
    <row r="8" spans="1:10" ht="27" customHeight="1" thickBot="1" x14ac:dyDescent="0.25">
      <c r="A8" s="1236"/>
      <c r="B8" s="1232"/>
      <c r="C8" s="267" t="s">
        <v>109</v>
      </c>
      <c r="D8" s="272" t="s">
        <v>110</v>
      </c>
      <c r="E8" s="267" t="s">
        <v>109</v>
      </c>
      <c r="F8" s="268" t="s">
        <v>586</v>
      </c>
      <c r="G8" s="269" t="s">
        <v>587</v>
      </c>
      <c r="H8" s="1214"/>
      <c r="I8" s="1216"/>
    </row>
    <row r="9" spans="1:10" ht="20.25" customHeight="1" x14ac:dyDescent="0.2">
      <c r="A9" s="315" t="s">
        <v>18</v>
      </c>
      <c r="B9" s="316" t="s">
        <v>315</v>
      </c>
      <c r="C9" s="317">
        <v>12000</v>
      </c>
      <c r="D9" s="318">
        <v>17390.060000000001</v>
      </c>
      <c r="E9" s="317">
        <v>10000</v>
      </c>
      <c r="F9" s="319">
        <v>17596.189999999999</v>
      </c>
      <c r="G9" s="318">
        <v>14110</v>
      </c>
      <c r="H9" s="915">
        <v>11000</v>
      </c>
      <c r="I9" s="320">
        <f t="shared" ref="I9:I23" si="0">H9/E9*100</f>
        <v>110.00000000000001</v>
      </c>
      <c r="J9" s="330"/>
    </row>
    <row r="10" spans="1:10" ht="20.25" customHeight="1" x14ac:dyDescent="0.2">
      <c r="A10" s="315" t="s">
        <v>236</v>
      </c>
      <c r="B10" s="316" t="s">
        <v>305</v>
      </c>
      <c r="C10" s="317">
        <v>75000</v>
      </c>
      <c r="D10" s="318">
        <v>40727.81</v>
      </c>
      <c r="E10" s="317">
        <v>40000</v>
      </c>
      <c r="F10" s="319">
        <v>108312.19</v>
      </c>
      <c r="G10" s="318">
        <v>14704.23</v>
      </c>
      <c r="H10" s="915">
        <v>75000</v>
      </c>
      <c r="I10" s="320">
        <f t="shared" si="0"/>
        <v>187.5</v>
      </c>
      <c r="J10" s="330"/>
    </row>
    <row r="11" spans="1:10" ht="20.25" customHeight="1" x14ac:dyDescent="0.2">
      <c r="A11" s="315" t="s">
        <v>290</v>
      </c>
      <c r="B11" s="316" t="s">
        <v>238</v>
      </c>
      <c r="C11" s="317">
        <v>42500</v>
      </c>
      <c r="D11" s="318">
        <v>38764.17</v>
      </c>
      <c r="E11" s="317">
        <v>40000</v>
      </c>
      <c r="F11" s="319">
        <v>40000</v>
      </c>
      <c r="G11" s="318">
        <v>22930.45</v>
      </c>
      <c r="H11" s="915">
        <v>47000</v>
      </c>
      <c r="I11" s="320">
        <f t="shared" si="0"/>
        <v>117.5</v>
      </c>
      <c r="J11" s="330"/>
    </row>
    <row r="12" spans="1:10" ht="20.25" customHeight="1" x14ac:dyDescent="0.2">
      <c r="A12" s="315" t="s">
        <v>20</v>
      </c>
      <c r="B12" s="316" t="s">
        <v>21</v>
      </c>
      <c r="C12" s="317">
        <v>53000</v>
      </c>
      <c r="D12" s="318">
        <v>48086.13</v>
      </c>
      <c r="E12" s="317">
        <v>51000</v>
      </c>
      <c r="F12" s="319">
        <v>79433.14</v>
      </c>
      <c r="G12" s="318">
        <v>34706.269999999997</v>
      </c>
      <c r="H12" s="915">
        <v>72000</v>
      </c>
      <c r="I12" s="320">
        <f t="shared" si="0"/>
        <v>141.1764705882353</v>
      </c>
      <c r="J12" s="330"/>
    </row>
    <row r="13" spans="1:10" ht="20.25" customHeight="1" x14ac:dyDescent="0.2">
      <c r="A13" s="315" t="s">
        <v>20</v>
      </c>
      <c r="B13" s="316" t="s">
        <v>260</v>
      </c>
      <c r="C13" s="317">
        <v>10000</v>
      </c>
      <c r="D13" s="318">
        <v>0</v>
      </c>
      <c r="E13" s="317">
        <v>0</v>
      </c>
      <c r="F13" s="319">
        <v>0</v>
      </c>
      <c r="G13" s="318">
        <v>0</v>
      </c>
      <c r="H13" s="915">
        <v>0</v>
      </c>
      <c r="I13" s="320" t="s">
        <v>60</v>
      </c>
      <c r="J13" s="330"/>
    </row>
    <row r="14" spans="1:10" ht="20.25" customHeight="1" x14ac:dyDescent="0.2">
      <c r="A14" s="315" t="s">
        <v>20</v>
      </c>
      <c r="B14" s="316" t="s">
        <v>328</v>
      </c>
      <c r="C14" s="317">
        <v>11500</v>
      </c>
      <c r="D14" s="318">
        <v>11749.46</v>
      </c>
      <c r="E14" s="317">
        <v>21500</v>
      </c>
      <c r="F14" s="319">
        <v>23411.5</v>
      </c>
      <c r="G14" s="318">
        <v>12740.26</v>
      </c>
      <c r="H14" s="915">
        <v>23500</v>
      </c>
      <c r="I14" s="320">
        <f t="shared" si="0"/>
        <v>109.30232558139534</v>
      </c>
      <c r="J14" s="330"/>
    </row>
    <row r="15" spans="1:10" ht="20.25" customHeight="1" x14ac:dyDescent="0.2">
      <c r="A15" s="315" t="s">
        <v>69</v>
      </c>
      <c r="B15" s="316" t="s">
        <v>316</v>
      </c>
      <c r="C15" s="317">
        <v>6000</v>
      </c>
      <c r="D15" s="318">
        <v>6145.78</v>
      </c>
      <c r="E15" s="317">
        <v>7000</v>
      </c>
      <c r="F15" s="319">
        <v>7000</v>
      </c>
      <c r="G15" s="318">
        <v>6400.59</v>
      </c>
      <c r="H15" s="915">
        <v>10000</v>
      </c>
      <c r="I15" s="320">
        <f t="shared" si="0"/>
        <v>142.85714285714286</v>
      </c>
      <c r="J15" s="330"/>
    </row>
    <row r="16" spans="1:10" ht="20.25" customHeight="1" x14ac:dyDescent="0.2">
      <c r="A16" s="315" t="s">
        <v>91</v>
      </c>
      <c r="B16" s="316" t="s">
        <v>380</v>
      </c>
      <c r="C16" s="317">
        <v>40000</v>
      </c>
      <c r="D16" s="318">
        <v>46658.14</v>
      </c>
      <c r="E16" s="317">
        <v>40000</v>
      </c>
      <c r="F16" s="319">
        <v>129650.62</v>
      </c>
      <c r="G16" s="318">
        <v>29650.62</v>
      </c>
      <c r="H16" s="915">
        <f>20000+34000</f>
        <v>54000</v>
      </c>
      <c r="I16" s="320">
        <f t="shared" si="0"/>
        <v>135</v>
      </c>
      <c r="J16" s="330"/>
    </row>
    <row r="17" spans="1:10" ht="20.25" customHeight="1" x14ac:dyDescent="0.2">
      <c r="A17" s="315" t="s">
        <v>91</v>
      </c>
      <c r="B17" s="316" t="s">
        <v>80</v>
      </c>
      <c r="C17" s="317">
        <v>120000</v>
      </c>
      <c r="D17" s="318">
        <v>97672.33</v>
      </c>
      <c r="E17" s="317">
        <v>100000</v>
      </c>
      <c r="F17" s="319">
        <v>140112.32999999999</v>
      </c>
      <c r="G17" s="318">
        <v>74671.320000000007</v>
      </c>
      <c r="H17" s="915">
        <v>270000</v>
      </c>
      <c r="I17" s="320">
        <f t="shared" si="0"/>
        <v>270</v>
      </c>
      <c r="J17" s="330"/>
    </row>
    <row r="18" spans="1:10" ht="20.25" customHeight="1" x14ac:dyDescent="0.2">
      <c r="A18" s="315" t="s">
        <v>91</v>
      </c>
      <c r="B18" s="321" t="s">
        <v>101</v>
      </c>
      <c r="C18" s="317">
        <v>15000</v>
      </c>
      <c r="D18" s="318">
        <v>13490.41</v>
      </c>
      <c r="E18" s="317">
        <v>10000</v>
      </c>
      <c r="F18" s="319">
        <v>70961.179999999993</v>
      </c>
      <c r="G18" s="318">
        <v>10115.370000000001</v>
      </c>
      <c r="H18" s="915">
        <v>11000</v>
      </c>
      <c r="I18" s="320">
        <f t="shared" si="0"/>
        <v>110.00000000000001</v>
      </c>
      <c r="J18" s="330"/>
    </row>
    <row r="19" spans="1:10" ht="20.25" customHeight="1" x14ac:dyDescent="0.2">
      <c r="A19" s="315" t="s">
        <v>91</v>
      </c>
      <c r="B19" s="321" t="s">
        <v>227</v>
      </c>
      <c r="C19" s="317">
        <v>0</v>
      </c>
      <c r="D19" s="318">
        <v>4000</v>
      </c>
      <c r="E19" s="317">
        <v>0</v>
      </c>
      <c r="F19" s="319">
        <v>20000</v>
      </c>
      <c r="G19" s="318">
        <v>8000</v>
      </c>
      <c r="H19" s="915">
        <v>0</v>
      </c>
      <c r="I19" s="320" t="s">
        <v>60</v>
      </c>
      <c r="J19" s="330"/>
    </row>
    <row r="20" spans="1:10" ht="20.25" customHeight="1" x14ac:dyDescent="0.2">
      <c r="A20" s="315" t="s">
        <v>91</v>
      </c>
      <c r="B20" s="321" t="s">
        <v>288</v>
      </c>
      <c r="C20" s="317">
        <v>2000</v>
      </c>
      <c r="D20" s="318">
        <v>421.5</v>
      </c>
      <c r="E20" s="317">
        <v>0</v>
      </c>
      <c r="F20" s="319">
        <v>1578.5</v>
      </c>
      <c r="G20" s="318">
        <v>1204.5</v>
      </c>
      <c r="H20" s="915">
        <v>0</v>
      </c>
      <c r="I20" s="320" t="s">
        <v>60</v>
      </c>
      <c r="J20" s="330"/>
    </row>
    <row r="21" spans="1:10" ht="20.25" customHeight="1" x14ac:dyDescent="0.2">
      <c r="A21" s="315" t="s">
        <v>91</v>
      </c>
      <c r="B21" s="321" t="s">
        <v>291</v>
      </c>
      <c r="C21" s="317">
        <v>20000</v>
      </c>
      <c r="D21" s="318">
        <v>9242.25</v>
      </c>
      <c r="E21" s="317">
        <v>0</v>
      </c>
      <c r="F21" s="319">
        <v>22204</v>
      </c>
      <c r="G21" s="318">
        <v>3540</v>
      </c>
      <c r="H21" s="915">
        <v>0</v>
      </c>
      <c r="I21" s="320" t="s">
        <v>60</v>
      </c>
      <c r="J21" s="330"/>
    </row>
    <row r="22" spans="1:10" ht="20.25" customHeight="1" x14ac:dyDescent="0.2">
      <c r="A22" s="315" t="s">
        <v>91</v>
      </c>
      <c r="B22" s="321" t="s">
        <v>292</v>
      </c>
      <c r="C22" s="317">
        <v>2000</v>
      </c>
      <c r="D22" s="318">
        <v>200</v>
      </c>
      <c r="E22" s="317">
        <v>200</v>
      </c>
      <c r="F22" s="319">
        <v>200</v>
      </c>
      <c r="G22" s="318">
        <v>0</v>
      </c>
      <c r="H22" s="915">
        <v>400</v>
      </c>
      <c r="I22" s="320">
        <f t="shared" si="0"/>
        <v>200</v>
      </c>
      <c r="J22" s="330"/>
    </row>
    <row r="23" spans="1:10" ht="20.25" customHeight="1" x14ac:dyDescent="0.2">
      <c r="A23" s="315" t="s">
        <v>22</v>
      </c>
      <c r="B23" s="316" t="s">
        <v>23</v>
      </c>
      <c r="C23" s="317">
        <v>20000</v>
      </c>
      <c r="D23" s="318">
        <v>30344.799999999999</v>
      </c>
      <c r="E23" s="317">
        <f>22000+2000</f>
        <v>24000</v>
      </c>
      <c r="F23" s="319">
        <v>34558.89</v>
      </c>
      <c r="G23" s="318">
        <v>11458.03</v>
      </c>
      <c r="H23" s="915">
        <v>26500</v>
      </c>
      <c r="I23" s="320">
        <f t="shared" si="0"/>
        <v>110.41666666666667</v>
      </c>
      <c r="J23" s="330"/>
    </row>
    <row r="24" spans="1:10" ht="20.25" customHeight="1" x14ac:dyDescent="0.2">
      <c r="A24" s="315" t="s">
        <v>22</v>
      </c>
      <c r="B24" s="316" t="s">
        <v>381</v>
      </c>
      <c r="C24" s="317">
        <v>110000</v>
      </c>
      <c r="D24" s="318">
        <v>184173.64</v>
      </c>
      <c r="E24" s="317">
        <v>110000</v>
      </c>
      <c r="F24" s="319">
        <v>178341.98</v>
      </c>
      <c r="G24" s="318">
        <v>24205.66</v>
      </c>
      <c r="H24" s="915">
        <v>121000</v>
      </c>
      <c r="I24" s="320">
        <f>H24/E24*100</f>
        <v>110.00000000000001</v>
      </c>
      <c r="J24" s="330"/>
    </row>
    <row r="25" spans="1:10" ht="20.25" customHeight="1" x14ac:dyDescent="0.2">
      <c r="A25" s="315" t="s">
        <v>24</v>
      </c>
      <c r="B25" s="316" t="s">
        <v>477</v>
      </c>
      <c r="C25" s="317">
        <v>50500</v>
      </c>
      <c r="D25" s="318">
        <v>50500</v>
      </c>
      <c r="E25" s="317">
        <v>55000</v>
      </c>
      <c r="F25" s="319">
        <v>55000</v>
      </c>
      <c r="G25" s="318">
        <v>50157.58</v>
      </c>
      <c r="H25" s="915">
        <v>85000</v>
      </c>
      <c r="I25" s="320">
        <f t="shared" ref="I25:I28" si="1">H25/E25*100</f>
        <v>154.54545454545453</v>
      </c>
      <c r="J25" s="330"/>
    </row>
    <row r="26" spans="1:10" ht="20.25" customHeight="1" x14ac:dyDescent="0.2">
      <c r="A26" s="315" t="s">
        <v>232</v>
      </c>
      <c r="B26" s="316" t="s">
        <v>240</v>
      </c>
      <c r="C26" s="317">
        <v>8500</v>
      </c>
      <c r="D26" s="318">
        <v>8228.1299999999992</v>
      </c>
      <c r="E26" s="317">
        <v>10000</v>
      </c>
      <c r="F26" s="319">
        <v>10100</v>
      </c>
      <c r="G26" s="318">
        <v>10037.11</v>
      </c>
      <c r="H26" s="915">
        <v>15000</v>
      </c>
      <c r="I26" s="320">
        <f t="shared" si="1"/>
        <v>150</v>
      </c>
      <c r="J26" s="330"/>
    </row>
    <row r="27" spans="1:10" ht="20.25" customHeight="1" x14ac:dyDescent="0.2">
      <c r="A27" s="315" t="s">
        <v>232</v>
      </c>
      <c r="B27" s="316" t="s">
        <v>19</v>
      </c>
      <c r="C27" s="317">
        <v>45000</v>
      </c>
      <c r="D27" s="318">
        <v>41652.07</v>
      </c>
      <c r="E27" s="317">
        <v>42000</v>
      </c>
      <c r="F27" s="319">
        <v>78678.78</v>
      </c>
      <c r="G27" s="318">
        <v>4078.03</v>
      </c>
      <c r="H27" s="915">
        <v>81000</v>
      </c>
      <c r="I27" s="320">
        <f t="shared" si="1"/>
        <v>192.85714285714286</v>
      </c>
      <c r="J27" s="330"/>
    </row>
    <row r="28" spans="1:10" ht="20.25" customHeight="1" thickBot="1" x14ac:dyDescent="0.25">
      <c r="A28" s="322" t="s">
        <v>293</v>
      </c>
      <c r="B28" s="323" t="s">
        <v>294</v>
      </c>
      <c r="C28" s="324">
        <v>20000</v>
      </c>
      <c r="D28" s="325">
        <v>7057.38</v>
      </c>
      <c r="E28" s="324">
        <v>20000</v>
      </c>
      <c r="F28" s="326">
        <v>25759.74</v>
      </c>
      <c r="G28" s="325">
        <v>5634.06</v>
      </c>
      <c r="H28" s="916">
        <v>22000</v>
      </c>
      <c r="I28" s="320">
        <f t="shared" si="1"/>
        <v>110.00000000000001</v>
      </c>
      <c r="J28" s="330"/>
    </row>
    <row r="29" spans="1:10" s="101" customFormat="1" ht="30" customHeight="1" thickBot="1" x14ac:dyDescent="0.25">
      <c r="A29" s="327" t="s">
        <v>58</v>
      </c>
      <c r="B29" s="328"/>
      <c r="C29" s="276">
        <f t="shared" ref="C29:H29" si="2">SUM(C9:C28)</f>
        <v>663000</v>
      </c>
      <c r="D29" s="277">
        <f t="shared" si="2"/>
        <v>656504.05999999994</v>
      </c>
      <c r="E29" s="276">
        <f t="shared" si="2"/>
        <v>580700</v>
      </c>
      <c r="F29" s="279">
        <f t="shared" si="2"/>
        <v>1042899.0399999999</v>
      </c>
      <c r="G29" s="277">
        <f t="shared" si="2"/>
        <v>338344.08</v>
      </c>
      <c r="H29" s="216">
        <f t="shared" si="2"/>
        <v>924400</v>
      </c>
      <c r="I29" s="329">
        <f>H29/E29*100</f>
        <v>159.18718787670053</v>
      </c>
      <c r="J29" s="614"/>
    </row>
    <row r="31" spans="1:10" ht="13.5" thickBot="1" x14ac:dyDescent="0.25">
      <c r="C31" s="331"/>
      <c r="E31" s="331"/>
    </row>
    <row r="32" spans="1:10" ht="60.75" thickBot="1" x14ac:dyDescent="0.25">
      <c r="A32" s="759">
        <v>10</v>
      </c>
      <c r="B32" s="760" t="s">
        <v>93</v>
      </c>
      <c r="C32" s="761">
        <v>0</v>
      </c>
      <c r="D32" s="762">
        <v>1250</v>
      </c>
      <c r="E32" s="761">
        <v>0</v>
      </c>
      <c r="F32" s="763">
        <v>1250</v>
      </c>
      <c r="G32" s="762">
        <v>0</v>
      </c>
      <c r="H32" s="903">
        <v>0</v>
      </c>
      <c r="I32" s="764" t="s">
        <v>60</v>
      </c>
    </row>
    <row r="440" spans="1:1" x14ac:dyDescent="0.2">
      <c r="A440" s="402"/>
    </row>
  </sheetData>
  <mergeCells count="7">
    <mergeCell ref="B7:B8"/>
    <mergeCell ref="C7:D7"/>
    <mergeCell ref="I7:I8"/>
    <mergeCell ref="A4:B4"/>
    <mergeCell ref="A7:A8"/>
    <mergeCell ref="E7:G7"/>
    <mergeCell ref="H7:H8"/>
  </mergeCells>
  <phoneticPr fontId="8" type="noConversion"/>
  <printOptions horizontalCentered="1"/>
  <pageMargins left="0.19685039370078741" right="0" top="0.78740157480314965" bottom="0.59055118110236227" header="0.59055118110236227" footer="0.59055118110236227"/>
  <pageSetup paperSize="9" scale="76"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4"/>
  <sheetViews>
    <sheetView zoomScale="95" zoomScaleNormal="95" workbookViewId="0">
      <selection activeCell="C52" sqref="C52"/>
    </sheetView>
  </sheetViews>
  <sheetFormatPr defaultColWidth="9.140625" defaultRowHeight="12.75" x14ac:dyDescent="0.2"/>
  <cols>
    <col min="1" max="1" width="42.85546875" style="71" customWidth="1"/>
    <col min="2" max="2" width="25.7109375" style="71" customWidth="1"/>
    <col min="3" max="5" width="22.7109375" style="71" customWidth="1"/>
    <col min="6" max="6" width="25.7109375" style="71" customWidth="1"/>
    <col min="7" max="7" width="25.7109375" style="330" customWidth="1"/>
    <col min="8" max="8" width="25.7109375" style="71" customWidth="1"/>
    <col min="9" max="9" width="22.85546875" style="71" customWidth="1"/>
    <col min="10" max="10" width="12.42578125" style="71" customWidth="1"/>
    <col min="11" max="12" width="14.5703125" style="71" customWidth="1"/>
    <col min="13" max="13" width="10.7109375" style="71" bestFit="1" customWidth="1"/>
    <col min="14" max="14" width="11.7109375" style="71" bestFit="1" customWidth="1"/>
    <col min="15" max="16384" width="9.140625" style="71"/>
  </cols>
  <sheetData>
    <row r="1" spans="1:19" s="57" customFormat="1" ht="15" customHeight="1" x14ac:dyDescent="0.2">
      <c r="A1" s="399"/>
      <c r="B1" s="399"/>
      <c r="C1" s="399"/>
      <c r="D1" s="399"/>
      <c r="E1" s="399"/>
      <c r="F1" s="399"/>
      <c r="G1" s="400"/>
    </row>
    <row r="2" spans="1:19" s="57" customFormat="1" ht="24" customHeight="1" x14ac:dyDescent="0.2">
      <c r="A2" s="399" t="s">
        <v>486</v>
      </c>
      <c r="B2" s="399"/>
      <c r="C2" s="399"/>
      <c r="D2" s="399"/>
      <c r="E2" s="399"/>
      <c r="F2" s="399"/>
      <c r="G2" s="400"/>
    </row>
    <row r="3" spans="1:19" ht="15" customHeight="1" x14ac:dyDescent="0.2"/>
    <row r="4" spans="1:19" x14ac:dyDescent="0.2">
      <c r="A4" s="402"/>
      <c r="B4" s="402"/>
      <c r="C4" s="402"/>
      <c r="D4" s="402"/>
      <c r="E4" s="402"/>
      <c r="F4" s="402"/>
      <c r="H4" s="402"/>
    </row>
    <row r="5" spans="1:19" ht="36" customHeight="1" x14ac:dyDescent="0.2">
      <c r="A5" s="1248" t="s">
        <v>593</v>
      </c>
      <c r="B5" s="1248"/>
      <c r="C5" s="1248"/>
      <c r="D5" s="1248"/>
      <c r="E5" s="1248"/>
      <c r="F5" s="1248"/>
      <c r="G5" s="1248"/>
      <c r="H5" s="1248"/>
      <c r="I5" s="1248"/>
      <c r="J5" s="615"/>
      <c r="K5" s="767"/>
      <c r="L5" s="767"/>
      <c r="M5" s="767"/>
      <c r="N5" s="767"/>
      <c r="O5" s="767"/>
      <c r="P5" s="767"/>
      <c r="Q5" s="767"/>
      <c r="R5" s="767"/>
      <c r="S5" s="767"/>
    </row>
    <row r="6" spans="1:19" ht="15.75" thickBot="1" x14ac:dyDescent="0.25">
      <c r="B6" s="606"/>
      <c r="C6" s="606"/>
      <c r="D6" s="606"/>
      <c r="E6" s="606"/>
      <c r="F6" s="606"/>
      <c r="G6" s="604"/>
      <c r="H6" s="604"/>
      <c r="I6" s="606" t="s">
        <v>0</v>
      </c>
      <c r="J6" s="604"/>
      <c r="K6" s="767"/>
      <c r="L6" s="767"/>
      <c r="M6" s="767"/>
      <c r="N6" s="767"/>
      <c r="O6" s="767"/>
      <c r="P6" s="767"/>
      <c r="Q6" s="767"/>
      <c r="R6" s="767"/>
      <c r="S6" s="767"/>
    </row>
    <row r="7" spans="1:19" ht="30" customHeight="1" x14ac:dyDescent="0.2">
      <c r="A7" s="1239" t="s">
        <v>378</v>
      </c>
      <c r="B7" s="1213" t="s">
        <v>495</v>
      </c>
      <c r="C7" s="1241" t="s">
        <v>96</v>
      </c>
      <c r="D7" s="1241"/>
      <c r="E7" s="1241"/>
      <c r="F7" s="1213" t="s">
        <v>310</v>
      </c>
      <c r="G7" s="1249" t="s">
        <v>499</v>
      </c>
      <c r="H7" s="1244" t="s">
        <v>368</v>
      </c>
      <c r="I7" s="1237" t="s">
        <v>498</v>
      </c>
      <c r="J7" s="608"/>
      <c r="M7" s="767"/>
      <c r="N7" s="767"/>
      <c r="O7" s="767"/>
      <c r="P7" s="767"/>
      <c r="Q7" s="767"/>
      <c r="R7" s="767"/>
      <c r="S7" s="767"/>
    </row>
    <row r="8" spans="1:19" ht="60" customHeight="1" thickBot="1" x14ac:dyDescent="0.25">
      <c r="A8" s="1240"/>
      <c r="B8" s="1214"/>
      <c r="C8" s="956" t="s">
        <v>496</v>
      </c>
      <c r="D8" s="958" t="s">
        <v>497</v>
      </c>
      <c r="E8" s="957" t="s">
        <v>579</v>
      </c>
      <c r="F8" s="1214"/>
      <c r="G8" s="1250"/>
      <c r="H8" s="1245"/>
      <c r="I8" s="1238"/>
      <c r="J8" s="608"/>
      <c r="M8" s="767"/>
      <c r="N8" s="767"/>
      <c r="O8" s="767"/>
      <c r="P8" s="767"/>
      <c r="Q8" s="767"/>
      <c r="R8" s="767"/>
      <c r="S8" s="767"/>
    </row>
    <row r="9" spans="1:19" ht="15" x14ac:dyDescent="0.2">
      <c r="A9" s="1034" t="s">
        <v>28</v>
      </c>
      <c r="B9" s="959">
        <f>SUM(C9:E9)</f>
        <v>0</v>
      </c>
      <c r="C9" s="1032">
        <v>0</v>
      </c>
      <c r="D9" s="960">
        <v>0</v>
      </c>
      <c r="E9" s="960">
        <v>0</v>
      </c>
      <c r="F9" s="962">
        <v>0</v>
      </c>
      <c r="G9" s="963">
        <v>0</v>
      </c>
      <c r="H9" s="964">
        <f t="shared" ref="H9" si="0">B9+F9+G9</f>
        <v>0</v>
      </c>
      <c r="I9" s="965">
        <v>0</v>
      </c>
      <c r="J9" s="767"/>
      <c r="K9" s="331"/>
      <c r="L9" s="331"/>
      <c r="M9" s="768"/>
      <c r="N9" s="767"/>
      <c r="O9" s="767"/>
      <c r="P9" s="767"/>
      <c r="Q9" s="767"/>
      <c r="R9" s="767"/>
      <c r="S9" s="767"/>
    </row>
    <row r="10" spans="1:19" ht="15" x14ac:dyDescent="0.2">
      <c r="A10" s="1033" t="s">
        <v>29</v>
      </c>
      <c r="B10" s="959">
        <f>SUM(C10:E10)</f>
        <v>15000</v>
      </c>
      <c r="C10" s="1027">
        <v>15000</v>
      </c>
      <c r="D10" s="356">
        <v>0</v>
      </c>
      <c r="E10" s="356">
        <v>0</v>
      </c>
      <c r="F10" s="959">
        <v>0</v>
      </c>
      <c r="G10" s="1029">
        <v>0</v>
      </c>
      <c r="H10" s="1030">
        <f t="shared" ref="H10:H18" si="1">B10+F10+G10</f>
        <v>15000</v>
      </c>
      <c r="I10" s="1031">
        <v>127900</v>
      </c>
      <c r="J10" s="767"/>
      <c r="K10" s="331"/>
      <c r="L10" s="331"/>
      <c r="M10" s="768"/>
      <c r="N10" s="767"/>
      <c r="O10" s="767"/>
      <c r="P10" s="767"/>
      <c r="Q10" s="767"/>
      <c r="R10" s="767"/>
      <c r="S10" s="767"/>
    </row>
    <row r="11" spans="1:19" ht="15" x14ac:dyDescent="0.2">
      <c r="A11" s="765" t="s">
        <v>95</v>
      </c>
      <c r="B11" s="959">
        <f t="shared" ref="B11:B20" si="2">SUM(C11:E11)</f>
        <v>1000</v>
      </c>
      <c r="C11" s="966">
        <v>1000</v>
      </c>
      <c r="D11" s="361">
        <v>0</v>
      </c>
      <c r="E11" s="361">
        <v>0</v>
      </c>
      <c r="F11" s="968">
        <v>0</v>
      </c>
      <c r="G11" s="969">
        <v>0</v>
      </c>
      <c r="H11" s="970">
        <f t="shared" si="1"/>
        <v>1000</v>
      </c>
      <c r="I11" s="971">
        <v>75000</v>
      </c>
      <c r="J11" s="331"/>
      <c r="K11" s="331"/>
      <c r="L11" s="331"/>
      <c r="M11" s="768"/>
      <c r="N11" s="767"/>
      <c r="O11" s="767"/>
      <c r="P11" s="767"/>
      <c r="Q11" s="767"/>
      <c r="R11" s="767"/>
      <c r="S11" s="767"/>
    </row>
    <row r="12" spans="1:19" ht="15" x14ac:dyDescent="0.2">
      <c r="A12" s="765" t="s">
        <v>30</v>
      </c>
      <c r="B12" s="959">
        <f t="shared" si="2"/>
        <v>0</v>
      </c>
      <c r="C12" s="966">
        <v>0</v>
      </c>
      <c r="D12" s="361">
        <v>0</v>
      </c>
      <c r="E12" s="361">
        <v>0</v>
      </c>
      <c r="F12" s="968">
        <v>0</v>
      </c>
      <c r="G12" s="969">
        <v>0</v>
      </c>
      <c r="H12" s="970">
        <f t="shared" si="1"/>
        <v>0</v>
      </c>
      <c r="I12" s="971">
        <v>24000</v>
      </c>
      <c r="J12" s="331"/>
      <c r="K12" s="331"/>
      <c r="L12" s="331"/>
      <c r="M12" s="768"/>
      <c r="N12" s="767"/>
      <c r="O12" s="767"/>
      <c r="P12" s="767"/>
      <c r="Q12" s="767"/>
      <c r="R12" s="767"/>
      <c r="S12" s="767"/>
    </row>
    <row r="13" spans="1:19" ht="15" x14ac:dyDescent="0.2">
      <c r="A13" s="765" t="s">
        <v>31</v>
      </c>
      <c r="B13" s="959">
        <f t="shared" si="2"/>
        <v>1000</v>
      </c>
      <c r="C13" s="966">
        <v>1000</v>
      </c>
      <c r="D13" s="361">
        <v>0</v>
      </c>
      <c r="E13" s="361">
        <v>0</v>
      </c>
      <c r="F13" s="968">
        <v>0</v>
      </c>
      <c r="G13" s="969">
        <v>0</v>
      </c>
      <c r="H13" s="970">
        <f t="shared" si="1"/>
        <v>1000</v>
      </c>
      <c r="I13" s="971">
        <v>36000</v>
      </c>
      <c r="J13" s="331"/>
      <c r="K13" s="331"/>
      <c r="L13" s="331"/>
      <c r="M13" s="768"/>
      <c r="N13" s="767"/>
      <c r="O13" s="767"/>
      <c r="P13" s="767"/>
      <c r="Q13" s="767"/>
      <c r="R13" s="767"/>
      <c r="S13" s="767"/>
    </row>
    <row r="14" spans="1:19" ht="15" x14ac:dyDescent="0.2">
      <c r="A14" s="765" t="s">
        <v>32</v>
      </c>
      <c r="B14" s="959">
        <f t="shared" si="2"/>
        <v>0</v>
      </c>
      <c r="C14" s="966">
        <v>0</v>
      </c>
      <c r="D14" s="361">
        <v>0</v>
      </c>
      <c r="E14" s="361">
        <v>0</v>
      </c>
      <c r="F14" s="968">
        <v>0</v>
      </c>
      <c r="G14" s="969">
        <v>0</v>
      </c>
      <c r="H14" s="970">
        <f t="shared" si="1"/>
        <v>0</v>
      </c>
      <c r="I14" s="971">
        <v>51400</v>
      </c>
      <c r="J14" s="331"/>
      <c r="K14" s="331"/>
      <c r="L14" s="331"/>
      <c r="M14" s="768"/>
      <c r="N14" s="767"/>
      <c r="O14" s="767"/>
      <c r="P14" s="767"/>
      <c r="Q14" s="767"/>
      <c r="R14" s="767"/>
      <c r="S14" s="767"/>
    </row>
    <row r="15" spans="1:19" ht="15" x14ac:dyDescent="0.2">
      <c r="A15" s="765" t="s">
        <v>33</v>
      </c>
      <c r="B15" s="959">
        <f t="shared" si="2"/>
        <v>500</v>
      </c>
      <c r="C15" s="966">
        <v>500</v>
      </c>
      <c r="D15" s="361">
        <v>0</v>
      </c>
      <c r="E15" s="361">
        <v>0</v>
      </c>
      <c r="F15" s="968">
        <v>0</v>
      </c>
      <c r="G15" s="969">
        <v>0</v>
      </c>
      <c r="H15" s="970">
        <f t="shared" si="1"/>
        <v>500</v>
      </c>
      <c r="I15" s="971">
        <v>0</v>
      </c>
      <c r="J15" s="331"/>
      <c r="K15" s="331"/>
      <c r="L15" s="331"/>
      <c r="M15" s="768"/>
      <c r="N15" s="767"/>
      <c r="O15" s="767"/>
      <c r="P15" s="767"/>
      <c r="Q15" s="767"/>
      <c r="R15" s="767"/>
      <c r="S15" s="767"/>
    </row>
    <row r="16" spans="1:19" ht="15" x14ac:dyDescent="0.2">
      <c r="A16" s="765" t="s">
        <v>34</v>
      </c>
      <c r="B16" s="959">
        <f t="shared" si="2"/>
        <v>0</v>
      </c>
      <c r="C16" s="966">
        <v>0</v>
      </c>
      <c r="D16" s="361">
        <v>0</v>
      </c>
      <c r="E16" s="361">
        <v>0</v>
      </c>
      <c r="F16" s="968">
        <v>0</v>
      </c>
      <c r="G16" s="969">
        <v>0</v>
      </c>
      <c r="H16" s="970">
        <f t="shared" si="1"/>
        <v>0</v>
      </c>
      <c r="I16" s="971">
        <v>905</v>
      </c>
      <c r="J16" s="331"/>
      <c r="K16" s="331"/>
      <c r="L16" s="331"/>
      <c r="M16" s="768"/>
      <c r="N16" s="767"/>
      <c r="O16" s="767"/>
      <c r="P16" s="767"/>
      <c r="Q16" s="767"/>
      <c r="R16" s="767"/>
      <c r="S16" s="767"/>
    </row>
    <row r="17" spans="1:19" ht="15" x14ac:dyDescent="0.2">
      <c r="A17" s="765" t="s">
        <v>37</v>
      </c>
      <c r="B17" s="959">
        <f t="shared" si="2"/>
        <v>22920</v>
      </c>
      <c r="C17" s="966">
        <v>22920</v>
      </c>
      <c r="D17" s="361">
        <v>0</v>
      </c>
      <c r="E17" s="361">
        <v>0</v>
      </c>
      <c r="F17" s="968">
        <v>0</v>
      </c>
      <c r="G17" s="969">
        <v>0</v>
      </c>
      <c r="H17" s="970">
        <f t="shared" si="1"/>
        <v>22920</v>
      </c>
      <c r="I17" s="971">
        <v>0</v>
      </c>
      <c r="J17" s="331"/>
      <c r="K17" s="331"/>
      <c r="L17" s="331"/>
      <c r="M17" s="768"/>
      <c r="N17" s="767"/>
      <c r="O17" s="767"/>
      <c r="P17" s="767"/>
      <c r="Q17" s="767"/>
      <c r="R17" s="767"/>
      <c r="S17" s="767"/>
    </row>
    <row r="18" spans="1:19" ht="15" x14ac:dyDescent="0.2">
      <c r="A18" s="765" t="s">
        <v>84</v>
      </c>
      <c r="B18" s="959">
        <f t="shared" si="2"/>
        <v>0</v>
      </c>
      <c r="C18" s="966">
        <v>0</v>
      </c>
      <c r="D18" s="361">
        <v>0</v>
      </c>
      <c r="E18" s="361">
        <v>0</v>
      </c>
      <c r="F18" s="968">
        <v>0</v>
      </c>
      <c r="G18" s="969">
        <v>0</v>
      </c>
      <c r="H18" s="970">
        <f t="shared" si="1"/>
        <v>0</v>
      </c>
      <c r="I18" s="971">
        <v>0</v>
      </c>
      <c r="J18" s="331"/>
      <c r="K18" s="331"/>
      <c r="L18" s="331"/>
      <c r="M18" s="768"/>
      <c r="N18" s="767"/>
      <c r="O18" s="767"/>
      <c r="P18" s="767"/>
      <c r="Q18" s="767"/>
      <c r="R18" s="767"/>
      <c r="S18" s="767"/>
    </row>
    <row r="19" spans="1:19" ht="15" x14ac:dyDescent="0.2">
      <c r="A19" s="765" t="s">
        <v>286</v>
      </c>
      <c r="B19" s="959">
        <f t="shared" si="2"/>
        <v>10000</v>
      </c>
      <c r="C19" s="258">
        <v>10000</v>
      </c>
      <c r="D19" s="972">
        <v>0</v>
      </c>
      <c r="E19" s="972">
        <v>0</v>
      </c>
      <c r="F19" s="968">
        <v>4535</v>
      </c>
      <c r="G19" s="969">
        <v>0</v>
      </c>
      <c r="H19" s="973">
        <f>B19+F19+G19</f>
        <v>14535</v>
      </c>
      <c r="I19" s="971">
        <v>0</v>
      </c>
      <c r="J19" s="331"/>
      <c r="K19" s="331"/>
      <c r="L19" s="331"/>
      <c r="M19" s="768"/>
      <c r="N19" s="767"/>
      <c r="O19" s="767"/>
      <c r="P19" s="767"/>
      <c r="Q19" s="767"/>
      <c r="R19" s="767"/>
      <c r="S19" s="767"/>
    </row>
    <row r="20" spans="1:19" ht="34.5" customHeight="1" thickBot="1" x14ac:dyDescent="0.25">
      <c r="A20" s="812" t="s">
        <v>311</v>
      </c>
      <c r="B20" s="959">
        <f t="shared" si="2"/>
        <v>0</v>
      </c>
      <c r="C20" s="258">
        <v>0</v>
      </c>
      <c r="D20" s="972">
        <v>0</v>
      </c>
      <c r="E20" s="972">
        <v>0</v>
      </c>
      <c r="F20" s="968">
        <v>0</v>
      </c>
      <c r="G20" s="969">
        <v>0</v>
      </c>
      <c r="H20" s="973">
        <v>0</v>
      </c>
      <c r="I20" s="971">
        <v>0</v>
      </c>
      <c r="J20" s="331"/>
      <c r="K20" s="331"/>
      <c r="L20" s="331"/>
      <c r="M20" s="768"/>
      <c r="N20" s="767"/>
      <c r="O20" s="767"/>
      <c r="P20" s="767"/>
      <c r="Q20" s="767"/>
      <c r="R20" s="767"/>
      <c r="S20" s="767"/>
    </row>
    <row r="21" spans="1:19" ht="15.75" thickBot="1" x14ac:dyDescent="0.25">
      <c r="A21" s="811" t="s">
        <v>312</v>
      </c>
      <c r="B21" s="974">
        <f>SUM(B9:B20)</f>
        <v>50420</v>
      </c>
      <c r="C21" s="975">
        <f t="shared" ref="C21:I21" si="3">SUM(C9:C20)</f>
        <v>50420</v>
      </c>
      <c r="D21" s="976">
        <f t="shared" si="3"/>
        <v>0</v>
      </c>
      <c r="E21" s="1023">
        <f t="shared" si="3"/>
        <v>0</v>
      </c>
      <c r="F21" s="974">
        <f t="shared" si="3"/>
        <v>4535</v>
      </c>
      <c r="G21" s="974">
        <f t="shared" si="3"/>
        <v>0</v>
      </c>
      <c r="H21" s="977">
        <f t="shared" si="3"/>
        <v>54955</v>
      </c>
      <c r="I21" s="978">
        <f t="shared" si="3"/>
        <v>315205</v>
      </c>
      <c r="J21" s="609"/>
      <c r="K21" s="609"/>
      <c r="L21" s="609"/>
      <c r="M21" s="768"/>
      <c r="N21" s="767"/>
      <c r="O21" s="767"/>
      <c r="P21" s="767"/>
      <c r="Q21" s="767"/>
      <c r="R21" s="767"/>
      <c r="S21" s="767"/>
    </row>
    <row r="22" spans="1:19" ht="15" x14ac:dyDescent="0.2">
      <c r="A22" s="611"/>
      <c r="B22" s="612"/>
      <c r="C22" s="612"/>
      <c r="D22" s="612"/>
      <c r="E22" s="612"/>
      <c r="F22" s="612"/>
      <c r="G22" s="604"/>
      <c r="H22" s="604"/>
      <c r="I22" s="604"/>
      <c r="J22" s="604"/>
      <c r="K22" s="769"/>
      <c r="L22" s="769"/>
      <c r="M22" s="767"/>
      <c r="N22" s="767"/>
      <c r="O22" s="767"/>
      <c r="P22" s="767"/>
      <c r="Q22" s="767"/>
      <c r="R22" s="767"/>
      <c r="S22" s="767"/>
    </row>
    <row r="23" spans="1:19" ht="15" x14ac:dyDescent="0.2">
      <c r="A23" s="611"/>
      <c r="B23" s="612"/>
      <c r="C23" s="612"/>
      <c r="D23" s="612"/>
      <c r="E23" s="612"/>
      <c r="F23" s="612"/>
      <c r="G23" s="604"/>
      <c r="H23" s="604"/>
      <c r="I23" s="604"/>
      <c r="J23" s="604"/>
      <c r="K23" s="767"/>
      <c r="L23" s="767"/>
      <c r="M23" s="767"/>
      <c r="N23" s="767"/>
      <c r="O23" s="767"/>
      <c r="P23" s="767"/>
      <c r="Q23" s="767"/>
      <c r="R23" s="767"/>
      <c r="S23" s="767"/>
    </row>
    <row r="24" spans="1:19" ht="36" customHeight="1" x14ac:dyDescent="0.2">
      <c r="A24" s="1248" t="s">
        <v>594</v>
      </c>
      <c r="B24" s="1248"/>
      <c r="C24" s="1248"/>
      <c r="D24" s="1248"/>
      <c r="E24" s="1248"/>
      <c r="F24" s="1248"/>
      <c r="G24" s="1248"/>
      <c r="H24" s="1248"/>
      <c r="I24" s="1248"/>
      <c r="J24" s="615"/>
      <c r="K24" s="767"/>
      <c r="L24" s="767"/>
      <c r="M24" s="767"/>
      <c r="N24" s="767"/>
      <c r="O24" s="767"/>
      <c r="P24" s="767"/>
      <c r="Q24" s="767"/>
      <c r="R24" s="767"/>
      <c r="S24" s="767"/>
    </row>
    <row r="25" spans="1:19" ht="15.75" thickBot="1" x14ac:dyDescent="0.25">
      <c r="B25" s="606"/>
      <c r="C25" s="606"/>
      <c r="D25" s="606"/>
      <c r="E25" s="606"/>
      <c r="F25" s="606"/>
      <c r="G25" s="604"/>
      <c r="H25" s="604"/>
      <c r="I25" s="606" t="s">
        <v>0</v>
      </c>
      <c r="J25" s="604"/>
      <c r="K25" s="767"/>
      <c r="L25" s="767"/>
      <c r="M25" s="767"/>
      <c r="N25" s="767"/>
      <c r="O25" s="767"/>
      <c r="P25" s="767"/>
      <c r="Q25" s="767"/>
      <c r="R25" s="767"/>
      <c r="S25" s="767"/>
    </row>
    <row r="26" spans="1:19" ht="30" customHeight="1" x14ac:dyDescent="0.2">
      <c r="A26" s="1239" t="s">
        <v>378</v>
      </c>
      <c r="B26" s="1213" t="s">
        <v>495</v>
      </c>
      <c r="C26" s="1241" t="s">
        <v>96</v>
      </c>
      <c r="D26" s="1241"/>
      <c r="E26" s="1241"/>
      <c r="F26" s="1213" t="s">
        <v>310</v>
      </c>
      <c r="G26" s="1249" t="s">
        <v>499</v>
      </c>
      <c r="H26" s="1244" t="s">
        <v>368</v>
      </c>
      <c r="I26" s="1237" t="s">
        <v>498</v>
      </c>
      <c r="M26" s="767"/>
      <c r="N26" s="767"/>
      <c r="O26" s="767"/>
      <c r="P26" s="767"/>
      <c r="Q26" s="767"/>
      <c r="R26" s="767"/>
      <c r="S26" s="767"/>
    </row>
    <row r="27" spans="1:19" ht="57.75" customHeight="1" thickBot="1" x14ac:dyDescent="0.25">
      <c r="A27" s="1240"/>
      <c r="B27" s="1214"/>
      <c r="C27" s="956" t="s">
        <v>548</v>
      </c>
      <c r="D27" s="958" t="s">
        <v>549</v>
      </c>
      <c r="E27" s="957" t="s">
        <v>579</v>
      </c>
      <c r="F27" s="1214"/>
      <c r="G27" s="1250"/>
      <c r="H27" s="1245"/>
      <c r="I27" s="1238"/>
      <c r="M27" s="767"/>
      <c r="N27" s="767"/>
      <c r="O27" s="767"/>
      <c r="P27" s="767"/>
      <c r="Q27" s="767"/>
      <c r="R27" s="767"/>
      <c r="S27" s="767"/>
    </row>
    <row r="28" spans="1:19" ht="15" x14ac:dyDescent="0.2">
      <c r="A28" s="1034" t="s">
        <v>28</v>
      </c>
      <c r="B28" s="959">
        <f>SUM(C28:E28)</f>
        <v>58848</v>
      </c>
      <c r="C28" s="1027">
        <v>8848</v>
      </c>
      <c r="D28" s="960">
        <v>42500</v>
      </c>
      <c r="E28" s="961">
        <v>7500</v>
      </c>
      <c r="F28" s="962">
        <v>0</v>
      </c>
      <c r="G28" s="963">
        <v>0</v>
      </c>
      <c r="H28" s="1030">
        <f t="shared" ref="H28:H40" si="4">B28+F28+G28</f>
        <v>58848</v>
      </c>
      <c r="I28" s="965">
        <v>0</v>
      </c>
      <c r="J28" s="768"/>
      <c r="K28" s="331"/>
      <c r="L28" s="331"/>
      <c r="M28" s="331"/>
      <c r="N28" s="331"/>
      <c r="P28" s="767"/>
      <c r="Q28" s="767"/>
      <c r="R28" s="767"/>
      <c r="S28" s="767"/>
    </row>
    <row r="29" spans="1:19" ht="15" x14ac:dyDescent="0.2">
      <c r="A29" s="1033" t="s">
        <v>29</v>
      </c>
      <c r="B29" s="959">
        <f>SUM(C29:E29)</f>
        <v>300000</v>
      </c>
      <c r="C29" s="966">
        <v>75000</v>
      </c>
      <c r="D29" s="356">
        <v>24000</v>
      </c>
      <c r="E29" s="1028">
        <v>201000</v>
      </c>
      <c r="F29" s="959">
        <v>0</v>
      </c>
      <c r="G29" s="1029">
        <v>140000</v>
      </c>
      <c r="H29" s="1030">
        <f t="shared" si="4"/>
        <v>440000</v>
      </c>
      <c r="I29" s="1031">
        <v>232800</v>
      </c>
      <c r="J29" s="768"/>
      <c r="K29" s="331"/>
      <c r="L29" s="331"/>
      <c r="M29" s="331"/>
      <c r="N29" s="331"/>
      <c r="P29" s="767"/>
      <c r="Q29" s="767"/>
      <c r="R29" s="767"/>
      <c r="S29" s="767"/>
    </row>
    <row r="30" spans="1:19" ht="15" x14ac:dyDescent="0.2">
      <c r="A30" s="765" t="s">
        <v>95</v>
      </c>
      <c r="B30" s="968">
        <f t="shared" ref="B30:B40" si="5">SUM(C30:E30)</f>
        <v>473000</v>
      </c>
      <c r="C30" s="966">
        <v>15000</v>
      </c>
      <c r="D30" s="361">
        <v>38000</v>
      </c>
      <c r="E30" s="967">
        <v>420000</v>
      </c>
      <c r="F30" s="968">
        <v>0</v>
      </c>
      <c r="G30" s="969">
        <v>20000</v>
      </c>
      <c r="H30" s="970">
        <f t="shared" si="4"/>
        <v>493000</v>
      </c>
      <c r="I30" s="971">
        <v>4400</v>
      </c>
      <c r="J30" s="768"/>
      <c r="K30" s="331"/>
      <c r="L30" s="331"/>
      <c r="M30" s="331"/>
      <c r="N30" s="331"/>
      <c r="P30" s="767"/>
      <c r="Q30" s="767"/>
      <c r="R30" s="767"/>
      <c r="S30" s="767"/>
    </row>
    <row r="31" spans="1:19" ht="15" x14ac:dyDescent="0.2">
      <c r="A31" s="765" t="s">
        <v>30</v>
      </c>
      <c r="B31" s="968">
        <f t="shared" si="5"/>
        <v>26500</v>
      </c>
      <c r="C31" s="966">
        <v>1000</v>
      </c>
      <c r="D31" s="361">
        <v>8500</v>
      </c>
      <c r="E31" s="967">
        <v>17000</v>
      </c>
      <c r="F31" s="968">
        <v>0</v>
      </c>
      <c r="G31" s="969">
        <v>24000</v>
      </c>
      <c r="H31" s="970">
        <f t="shared" si="4"/>
        <v>50500</v>
      </c>
      <c r="I31" s="971">
        <v>0</v>
      </c>
      <c r="J31" s="768"/>
      <c r="K31" s="331"/>
      <c r="L31" s="331"/>
      <c r="M31" s="331"/>
      <c r="N31" s="331"/>
      <c r="P31" s="767"/>
      <c r="Q31" s="767"/>
      <c r="R31" s="767"/>
      <c r="S31" s="767"/>
    </row>
    <row r="32" spans="1:19" ht="15" x14ac:dyDescent="0.2">
      <c r="A32" s="765" t="s">
        <v>31</v>
      </c>
      <c r="B32" s="968">
        <f t="shared" si="5"/>
        <v>69000</v>
      </c>
      <c r="C32" s="966">
        <v>0</v>
      </c>
      <c r="D32" s="361">
        <v>10000</v>
      </c>
      <c r="E32" s="967">
        <v>59000</v>
      </c>
      <c r="F32" s="968">
        <v>0</v>
      </c>
      <c r="G32" s="969">
        <v>60000</v>
      </c>
      <c r="H32" s="970">
        <f t="shared" si="4"/>
        <v>129000</v>
      </c>
      <c r="I32" s="971">
        <v>0</v>
      </c>
      <c r="J32" s="768"/>
      <c r="K32" s="331"/>
      <c r="L32" s="331"/>
      <c r="M32" s="331"/>
      <c r="N32" s="331"/>
      <c r="P32" s="767"/>
      <c r="Q32" s="767"/>
      <c r="R32" s="767"/>
      <c r="S32" s="767"/>
    </row>
    <row r="33" spans="1:19" ht="15" x14ac:dyDescent="0.2">
      <c r="A33" s="765" t="s">
        <v>32</v>
      </c>
      <c r="B33" s="968">
        <f t="shared" si="5"/>
        <v>105350</v>
      </c>
      <c r="C33" s="966">
        <v>18600</v>
      </c>
      <c r="D33" s="361">
        <v>87</v>
      </c>
      <c r="E33" s="967">
        <v>86663</v>
      </c>
      <c r="F33" s="968">
        <v>0</v>
      </c>
      <c r="G33" s="969">
        <v>0</v>
      </c>
      <c r="H33" s="970">
        <f t="shared" si="4"/>
        <v>105350</v>
      </c>
      <c r="I33" s="971">
        <v>65100</v>
      </c>
      <c r="J33" s="768"/>
      <c r="K33" s="331"/>
      <c r="L33" s="331"/>
      <c r="M33" s="331"/>
      <c r="N33" s="331"/>
      <c r="P33" s="767"/>
      <c r="Q33" s="767"/>
      <c r="R33" s="767"/>
      <c r="S33" s="767"/>
    </row>
    <row r="34" spans="1:19" ht="15" x14ac:dyDescent="0.2">
      <c r="A34" s="765" t="s">
        <v>33</v>
      </c>
      <c r="B34" s="968">
        <f t="shared" si="5"/>
        <v>71000</v>
      </c>
      <c r="C34" s="966">
        <v>1000</v>
      </c>
      <c r="D34" s="361">
        <v>5000</v>
      </c>
      <c r="E34" s="967">
        <v>65000</v>
      </c>
      <c r="F34" s="968">
        <v>50000</v>
      </c>
      <c r="G34" s="969">
        <v>10000</v>
      </c>
      <c r="H34" s="970">
        <f t="shared" si="4"/>
        <v>131000</v>
      </c>
      <c r="I34" s="971">
        <v>24104</v>
      </c>
      <c r="J34" s="768"/>
      <c r="K34" s="331"/>
      <c r="L34" s="331"/>
      <c r="M34" s="331"/>
      <c r="N34" s="331"/>
      <c r="P34" s="767"/>
      <c r="Q34" s="767"/>
      <c r="R34" s="767"/>
      <c r="S34" s="767"/>
    </row>
    <row r="35" spans="1:19" ht="15" x14ac:dyDescent="0.2">
      <c r="A35" s="765" t="s">
        <v>34</v>
      </c>
      <c r="B35" s="968">
        <f t="shared" si="5"/>
        <v>3000</v>
      </c>
      <c r="C35" s="966">
        <v>0</v>
      </c>
      <c r="D35" s="361">
        <v>0</v>
      </c>
      <c r="E35" s="967">
        <v>3000</v>
      </c>
      <c r="F35" s="968">
        <v>0</v>
      </c>
      <c r="G35" s="969">
        <v>0</v>
      </c>
      <c r="H35" s="970">
        <f t="shared" si="4"/>
        <v>3000</v>
      </c>
      <c r="I35" s="971">
        <v>0</v>
      </c>
      <c r="J35" s="768"/>
      <c r="K35" s="331"/>
      <c r="L35" s="331"/>
      <c r="M35" s="331"/>
      <c r="N35" s="331"/>
      <c r="P35" s="767"/>
      <c r="Q35" s="767"/>
      <c r="R35" s="767"/>
      <c r="S35" s="767"/>
    </row>
    <row r="36" spans="1:19" ht="15" x14ac:dyDescent="0.2">
      <c r="A36" s="765" t="s">
        <v>35</v>
      </c>
      <c r="B36" s="968">
        <f t="shared" si="5"/>
        <v>37800</v>
      </c>
      <c r="C36" s="966">
        <v>4200</v>
      </c>
      <c r="D36" s="361">
        <v>4200</v>
      </c>
      <c r="E36" s="967">
        <v>29400</v>
      </c>
      <c r="F36" s="968">
        <v>0</v>
      </c>
      <c r="G36" s="969">
        <v>1250</v>
      </c>
      <c r="H36" s="970">
        <f t="shared" si="4"/>
        <v>39050</v>
      </c>
      <c r="I36" s="971">
        <v>0</v>
      </c>
      <c r="J36" s="768"/>
      <c r="K36" s="331"/>
      <c r="L36" s="331"/>
      <c r="M36" s="331"/>
      <c r="N36" s="331"/>
      <c r="P36" s="767"/>
      <c r="Q36" s="767"/>
      <c r="R36" s="767"/>
      <c r="S36" s="767"/>
    </row>
    <row r="37" spans="1:19" ht="15" x14ac:dyDescent="0.2">
      <c r="A37" s="765" t="s">
        <v>37</v>
      </c>
      <c r="B37" s="968">
        <f t="shared" si="5"/>
        <v>58517</v>
      </c>
      <c r="C37" s="966">
        <v>0</v>
      </c>
      <c r="D37" s="361">
        <v>12289</v>
      </c>
      <c r="E37" s="967">
        <v>46228</v>
      </c>
      <c r="F37" s="968">
        <v>0</v>
      </c>
      <c r="G37" s="969">
        <v>0</v>
      </c>
      <c r="H37" s="970">
        <f t="shared" si="4"/>
        <v>58517</v>
      </c>
      <c r="I37" s="971">
        <v>0</v>
      </c>
      <c r="J37" s="768"/>
      <c r="K37" s="331"/>
      <c r="L37" s="331"/>
      <c r="M37" s="331"/>
      <c r="N37" s="331"/>
      <c r="P37" s="767"/>
      <c r="Q37" s="767"/>
      <c r="R37" s="767"/>
      <c r="S37" s="767"/>
    </row>
    <row r="38" spans="1:19" ht="15" x14ac:dyDescent="0.2">
      <c r="A38" s="765" t="s">
        <v>84</v>
      </c>
      <c r="B38" s="968">
        <f t="shared" si="5"/>
        <v>0</v>
      </c>
      <c r="C38" s="966">
        <v>0</v>
      </c>
      <c r="D38" s="361">
        <v>0</v>
      </c>
      <c r="E38" s="967">
        <v>0</v>
      </c>
      <c r="F38" s="968">
        <v>0</v>
      </c>
      <c r="G38" s="969">
        <v>0</v>
      </c>
      <c r="H38" s="970">
        <f t="shared" si="4"/>
        <v>0</v>
      </c>
      <c r="I38" s="971">
        <v>0</v>
      </c>
      <c r="J38" s="768"/>
      <c r="K38" s="331"/>
      <c r="L38" s="331"/>
      <c r="M38" s="331"/>
      <c r="N38" s="331"/>
      <c r="P38" s="767"/>
      <c r="Q38" s="767"/>
      <c r="R38" s="767"/>
      <c r="S38" s="767"/>
    </row>
    <row r="39" spans="1:19" ht="15" x14ac:dyDescent="0.2">
      <c r="A39" s="765" t="s">
        <v>286</v>
      </c>
      <c r="B39" s="968">
        <f t="shared" si="5"/>
        <v>80000</v>
      </c>
      <c r="C39" s="966">
        <v>0</v>
      </c>
      <c r="D39" s="361">
        <v>48000</v>
      </c>
      <c r="E39" s="967">
        <v>32000</v>
      </c>
      <c r="F39" s="968">
        <v>0</v>
      </c>
      <c r="G39" s="969">
        <v>170000</v>
      </c>
      <c r="H39" s="973">
        <f t="shared" si="4"/>
        <v>250000</v>
      </c>
      <c r="I39" s="971">
        <v>0</v>
      </c>
      <c r="J39" s="768"/>
      <c r="K39" s="331"/>
      <c r="L39" s="331"/>
      <c r="M39" s="331"/>
      <c r="N39" s="331"/>
      <c r="P39" s="767"/>
      <c r="Q39" s="767"/>
      <c r="R39" s="767"/>
      <c r="S39" s="767"/>
    </row>
    <row r="40" spans="1:19" ht="30.75" thickBot="1" x14ac:dyDescent="0.25">
      <c r="A40" s="766" t="s">
        <v>311</v>
      </c>
      <c r="B40" s="1022">
        <f t="shared" si="5"/>
        <v>0</v>
      </c>
      <c r="C40" s="966">
        <v>0</v>
      </c>
      <c r="D40" s="361">
        <v>0</v>
      </c>
      <c r="E40" s="967">
        <v>0</v>
      </c>
      <c r="F40" s="968">
        <v>0</v>
      </c>
      <c r="G40" s="969">
        <v>20000</v>
      </c>
      <c r="H40" s="973">
        <f t="shared" si="4"/>
        <v>20000</v>
      </c>
      <c r="I40" s="971">
        <v>0</v>
      </c>
      <c r="J40" s="768"/>
      <c r="K40" s="331"/>
      <c r="L40" s="331"/>
      <c r="M40" s="331"/>
      <c r="N40" s="331"/>
      <c r="P40" s="767"/>
      <c r="Q40" s="767"/>
      <c r="R40" s="767"/>
      <c r="S40" s="767"/>
    </row>
    <row r="41" spans="1:19" ht="15.75" thickBot="1" x14ac:dyDescent="0.25">
      <c r="A41" s="811" t="s">
        <v>312</v>
      </c>
      <c r="B41" s="974">
        <f>SUM(B28:B40)</f>
        <v>1283015</v>
      </c>
      <c r="C41" s="975">
        <f>SUM(C28:C40)</f>
        <v>123648</v>
      </c>
      <c r="D41" s="976">
        <f t="shared" ref="D41" si="6">SUM(D28:D40)</f>
        <v>192576</v>
      </c>
      <c r="E41" s="1023">
        <f t="shared" ref="E41" si="7">SUM(E28:E40)</f>
        <v>966791</v>
      </c>
      <c r="F41" s="974">
        <f t="shared" ref="F41" si="8">SUM(F28:F40)</f>
        <v>50000</v>
      </c>
      <c r="G41" s="974">
        <f t="shared" ref="G41" si="9">SUM(G28:G40)</f>
        <v>445250</v>
      </c>
      <c r="H41" s="977">
        <f t="shared" ref="H41" si="10">SUM(H28:H40)</f>
        <v>1778265</v>
      </c>
      <c r="I41" s="978">
        <f t="shared" ref="I41" si="11">SUM(I28:I40)</f>
        <v>326404</v>
      </c>
      <c r="J41" s="331"/>
      <c r="K41" s="331"/>
      <c r="L41" s="331"/>
      <c r="M41" s="331"/>
      <c r="N41" s="331"/>
      <c r="P41" s="767"/>
      <c r="Q41" s="767"/>
      <c r="R41" s="767"/>
      <c r="S41" s="767"/>
    </row>
    <row r="42" spans="1:19" ht="15" x14ac:dyDescent="0.2">
      <c r="A42" s="611"/>
      <c r="B42" s="612"/>
      <c r="C42" s="612"/>
      <c r="D42" s="612"/>
      <c r="E42" s="612"/>
      <c r="F42" s="612"/>
      <c r="G42" s="604"/>
      <c r="H42" s="604"/>
      <c r="I42" s="604"/>
      <c r="J42" s="604"/>
      <c r="K42" s="769"/>
      <c r="L42" s="769"/>
      <c r="M42" s="767"/>
      <c r="N42" s="767"/>
      <c r="O42" s="767"/>
      <c r="P42" s="767"/>
      <c r="Q42" s="767"/>
      <c r="R42" s="767"/>
      <c r="S42" s="767"/>
    </row>
    <row r="43" spans="1:19" ht="15" x14ac:dyDescent="0.2">
      <c r="A43" s="611"/>
      <c r="B43" s="612"/>
      <c r="C43" s="612"/>
      <c r="D43" s="612"/>
      <c r="E43" s="612"/>
      <c r="F43" s="612"/>
      <c r="G43" s="604"/>
      <c r="H43" s="604"/>
      <c r="I43" s="604"/>
      <c r="J43" s="604"/>
      <c r="K43" s="769"/>
      <c r="L43" s="769"/>
      <c r="M43" s="767"/>
      <c r="N43" s="767"/>
      <c r="O43" s="767"/>
      <c r="P43" s="767"/>
      <c r="Q43" s="767"/>
      <c r="R43" s="767"/>
      <c r="S43" s="767"/>
    </row>
    <row r="44" spans="1:19" ht="24" customHeight="1" x14ac:dyDescent="0.2">
      <c r="A44" s="1248" t="s">
        <v>595</v>
      </c>
      <c r="B44" s="1248"/>
      <c r="C44" s="1248"/>
      <c r="D44" s="1248"/>
      <c r="E44" s="1248"/>
      <c r="F44" s="1248"/>
      <c r="G44" s="1248"/>
      <c r="H44" s="1248"/>
      <c r="I44" s="1248"/>
      <c r="J44" s="713"/>
      <c r="K44" s="767"/>
      <c r="L44" s="767"/>
      <c r="M44" s="767"/>
      <c r="N44" s="767"/>
      <c r="O44" s="767"/>
      <c r="P44" s="767"/>
      <c r="Q44" s="767"/>
      <c r="R44" s="767"/>
      <c r="S44" s="767"/>
    </row>
    <row r="45" spans="1:19" ht="15.75" thickBot="1" x14ac:dyDescent="0.25">
      <c r="B45" s="606"/>
      <c r="C45" s="606"/>
      <c r="D45" s="606"/>
      <c r="E45" s="606"/>
      <c r="F45" s="606"/>
      <c r="G45" s="604"/>
      <c r="H45" s="604"/>
      <c r="I45" s="606" t="s">
        <v>0</v>
      </c>
      <c r="J45" s="604"/>
      <c r="K45" s="767"/>
      <c r="L45" s="767"/>
      <c r="M45" s="767"/>
      <c r="N45" s="767"/>
      <c r="O45" s="767"/>
      <c r="P45" s="767"/>
      <c r="Q45" s="767"/>
      <c r="R45" s="767"/>
      <c r="S45" s="767"/>
    </row>
    <row r="46" spans="1:19" ht="30" customHeight="1" x14ac:dyDescent="0.2">
      <c r="A46" s="1239" t="s">
        <v>378</v>
      </c>
      <c r="B46" s="1213" t="s">
        <v>369</v>
      </c>
      <c r="C46" s="1241" t="s">
        <v>96</v>
      </c>
      <c r="D46" s="1241"/>
      <c r="E46" s="1241"/>
      <c r="F46" s="1213" t="s">
        <v>313</v>
      </c>
      <c r="G46" s="1242" t="s">
        <v>370</v>
      </c>
      <c r="H46" s="1244" t="s">
        <v>371</v>
      </c>
      <c r="I46" s="1246" t="s">
        <v>487</v>
      </c>
      <c r="J46" s="608"/>
      <c r="K46" s="767"/>
      <c r="L46" s="767"/>
      <c r="M46" s="767"/>
      <c r="N46" s="767"/>
      <c r="O46" s="767"/>
      <c r="P46" s="767"/>
      <c r="Q46" s="767"/>
      <c r="R46" s="767"/>
      <c r="S46" s="767"/>
    </row>
    <row r="47" spans="1:19" ht="63.75" customHeight="1" thickBot="1" x14ac:dyDescent="0.25">
      <c r="A47" s="1240"/>
      <c r="B47" s="1214"/>
      <c r="C47" s="956" t="s">
        <v>402</v>
      </c>
      <c r="D47" s="1017" t="s">
        <v>403</v>
      </c>
      <c r="E47" s="1010" t="s">
        <v>579</v>
      </c>
      <c r="F47" s="1214"/>
      <c r="G47" s="1243"/>
      <c r="H47" s="1245"/>
      <c r="I47" s="1247"/>
      <c r="J47" s="608"/>
      <c r="K47" s="767"/>
      <c r="L47" s="767"/>
      <c r="M47" s="767"/>
      <c r="N47" s="767"/>
      <c r="O47" s="767"/>
      <c r="P47" s="767"/>
      <c r="Q47" s="767"/>
      <c r="R47" s="767"/>
      <c r="S47" s="767"/>
    </row>
    <row r="48" spans="1:19" ht="15" x14ac:dyDescent="0.2">
      <c r="A48" s="1034" t="s">
        <v>28</v>
      </c>
      <c r="B48" s="968">
        <f t="shared" ref="B48:B59" si="12">SUM(C48:E48)</f>
        <v>0</v>
      </c>
      <c r="C48" s="1032">
        <v>0</v>
      </c>
      <c r="D48" s="1027">
        <v>0</v>
      </c>
      <c r="E48" s="1027">
        <v>0</v>
      </c>
      <c r="F48" s="962">
        <v>0</v>
      </c>
      <c r="G48" s="959">
        <v>0</v>
      </c>
      <c r="H48" s="1030">
        <f>B48+F48+G48</f>
        <v>0</v>
      </c>
      <c r="I48" s="1024">
        <v>0</v>
      </c>
      <c r="J48" s="609"/>
      <c r="K48" s="767"/>
      <c r="L48" s="767"/>
      <c r="M48" s="767"/>
      <c r="N48" s="767"/>
      <c r="O48" s="767"/>
      <c r="P48" s="767"/>
      <c r="Q48" s="767"/>
      <c r="R48" s="767"/>
      <c r="S48" s="767"/>
    </row>
    <row r="49" spans="1:19" ht="15" x14ac:dyDescent="0.2">
      <c r="A49" s="1033" t="s">
        <v>29</v>
      </c>
      <c r="B49" s="968">
        <f t="shared" si="12"/>
        <v>130000</v>
      </c>
      <c r="C49" s="1035">
        <v>100000</v>
      </c>
      <c r="D49" s="356">
        <v>30000</v>
      </c>
      <c r="E49" s="1027">
        <v>0</v>
      </c>
      <c r="F49" s="959">
        <v>0</v>
      </c>
      <c r="G49" s="959">
        <v>0</v>
      </c>
      <c r="H49" s="1030">
        <f>B49+F49+G49</f>
        <v>130000</v>
      </c>
      <c r="I49" s="146">
        <v>0</v>
      </c>
      <c r="J49" s="609"/>
      <c r="K49" s="767"/>
      <c r="L49" s="767"/>
      <c r="M49" s="767"/>
      <c r="N49" s="767"/>
      <c r="O49" s="767"/>
      <c r="P49" s="767"/>
      <c r="Q49" s="767"/>
      <c r="R49" s="767"/>
      <c r="S49" s="767"/>
    </row>
    <row r="50" spans="1:19" ht="15" x14ac:dyDescent="0.2">
      <c r="A50" s="765" t="s">
        <v>95</v>
      </c>
      <c r="B50" s="968">
        <f t="shared" si="12"/>
        <v>11000</v>
      </c>
      <c r="C50" s="1027">
        <v>0</v>
      </c>
      <c r="D50" s="356">
        <v>1000</v>
      </c>
      <c r="E50" s="1028">
        <v>10000</v>
      </c>
      <c r="F50" s="959">
        <v>0</v>
      </c>
      <c r="G50" s="959">
        <v>0</v>
      </c>
      <c r="H50" s="970">
        <f>B50+F50+G50</f>
        <v>11000</v>
      </c>
      <c r="I50" s="103">
        <v>0</v>
      </c>
      <c r="J50" s="609"/>
      <c r="K50" s="767"/>
      <c r="L50" s="767"/>
      <c r="M50" s="767"/>
      <c r="N50" s="767"/>
      <c r="O50" s="767"/>
      <c r="P50" s="767"/>
      <c r="Q50" s="767"/>
      <c r="R50" s="767"/>
      <c r="S50" s="767"/>
    </row>
    <row r="51" spans="1:19" ht="15" x14ac:dyDescent="0.2">
      <c r="A51" s="765" t="s">
        <v>30</v>
      </c>
      <c r="B51" s="968">
        <f t="shared" si="12"/>
        <v>34500</v>
      </c>
      <c r="C51" s="966">
        <v>2700</v>
      </c>
      <c r="D51" s="361">
        <v>27000</v>
      </c>
      <c r="E51" s="967">
        <v>4800</v>
      </c>
      <c r="F51" s="959">
        <v>0</v>
      </c>
      <c r="G51" s="1025">
        <v>1000</v>
      </c>
      <c r="H51" s="970">
        <f>B51+F51+G51</f>
        <v>35500</v>
      </c>
      <c r="I51" s="103">
        <v>6693</v>
      </c>
      <c r="J51" s="609"/>
      <c r="K51" s="767"/>
      <c r="L51" s="767"/>
      <c r="M51" s="767"/>
      <c r="N51" s="767"/>
      <c r="O51" s="767"/>
      <c r="P51" s="767"/>
      <c r="Q51" s="767"/>
      <c r="R51" s="767"/>
      <c r="S51" s="767"/>
    </row>
    <row r="52" spans="1:19" ht="15" x14ac:dyDescent="0.2">
      <c r="A52" s="765" t="s">
        <v>31</v>
      </c>
      <c r="B52" s="968">
        <f t="shared" si="12"/>
        <v>0</v>
      </c>
      <c r="C52" s="1027">
        <v>0</v>
      </c>
      <c r="D52" s="1027">
        <v>0</v>
      </c>
      <c r="E52" s="1027">
        <v>0</v>
      </c>
      <c r="F52" s="959">
        <v>0</v>
      </c>
      <c r="G52" s="959">
        <v>0</v>
      </c>
      <c r="H52" s="970">
        <f t="shared" ref="H52:H59" si="13">B52+F52+G52</f>
        <v>0</v>
      </c>
      <c r="I52" s="103">
        <v>0</v>
      </c>
      <c r="J52" s="609"/>
      <c r="K52" s="767"/>
      <c r="L52" s="767"/>
      <c r="M52" s="767"/>
      <c r="N52" s="767"/>
      <c r="O52" s="767"/>
      <c r="P52" s="767"/>
      <c r="Q52" s="767"/>
      <c r="R52" s="767"/>
      <c r="S52" s="767"/>
    </row>
    <row r="53" spans="1:19" ht="15" x14ac:dyDescent="0.2">
      <c r="A53" s="765" t="s">
        <v>32</v>
      </c>
      <c r="B53" s="968">
        <f t="shared" si="12"/>
        <v>0</v>
      </c>
      <c r="C53" s="1027">
        <v>0</v>
      </c>
      <c r="D53" s="1027">
        <v>0</v>
      </c>
      <c r="E53" s="1027">
        <v>0</v>
      </c>
      <c r="F53" s="959">
        <v>0</v>
      </c>
      <c r="G53" s="959">
        <v>0</v>
      </c>
      <c r="H53" s="970">
        <f t="shared" si="13"/>
        <v>0</v>
      </c>
      <c r="I53" s="103">
        <v>0</v>
      </c>
      <c r="J53" s="609"/>
      <c r="K53" s="767"/>
      <c r="L53" s="767"/>
      <c r="M53" s="767"/>
      <c r="N53" s="767"/>
      <c r="O53" s="767"/>
      <c r="P53" s="767"/>
      <c r="Q53" s="767"/>
      <c r="R53" s="767"/>
      <c r="S53" s="767"/>
    </row>
    <row r="54" spans="1:19" ht="15" x14ac:dyDescent="0.2">
      <c r="A54" s="765" t="s">
        <v>33</v>
      </c>
      <c r="B54" s="968">
        <f t="shared" si="12"/>
        <v>0</v>
      </c>
      <c r="C54" s="1027">
        <v>0</v>
      </c>
      <c r="D54" s="1027">
        <v>0</v>
      </c>
      <c r="E54" s="1027">
        <v>0</v>
      </c>
      <c r="F54" s="959">
        <v>0</v>
      </c>
      <c r="G54" s="959">
        <v>0</v>
      </c>
      <c r="H54" s="970">
        <f t="shared" si="13"/>
        <v>0</v>
      </c>
      <c r="I54" s="103">
        <v>0</v>
      </c>
      <c r="J54" s="609"/>
      <c r="K54" s="767"/>
      <c r="L54" s="767"/>
      <c r="M54" s="767"/>
      <c r="N54" s="767"/>
      <c r="O54" s="767"/>
      <c r="P54" s="767"/>
      <c r="Q54" s="767"/>
      <c r="R54" s="767"/>
      <c r="S54" s="767"/>
    </row>
    <row r="55" spans="1:19" ht="15" x14ac:dyDescent="0.2">
      <c r="A55" s="765" t="s">
        <v>34</v>
      </c>
      <c r="B55" s="968">
        <f t="shared" si="12"/>
        <v>0</v>
      </c>
      <c r="C55" s="1027">
        <v>0</v>
      </c>
      <c r="D55" s="1027">
        <v>0</v>
      </c>
      <c r="E55" s="1027">
        <v>0</v>
      </c>
      <c r="F55" s="959">
        <v>0</v>
      </c>
      <c r="G55" s="959">
        <v>0</v>
      </c>
      <c r="H55" s="970">
        <f t="shared" si="13"/>
        <v>0</v>
      </c>
      <c r="I55" s="103">
        <v>0</v>
      </c>
      <c r="J55" s="609"/>
      <c r="K55" s="767"/>
      <c r="L55" s="767"/>
      <c r="M55" s="767"/>
      <c r="N55" s="767"/>
      <c r="O55" s="767"/>
      <c r="P55" s="767"/>
      <c r="Q55" s="767"/>
      <c r="R55" s="767"/>
      <c r="S55" s="767"/>
    </row>
    <row r="56" spans="1:19" ht="15" x14ac:dyDescent="0.2">
      <c r="A56" s="765" t="s">
        <v>37</v>
      </c>
      <c r="B56" s="968">
        <f t="shared" si="12"/>
        <v>54896</v>
      </c>
      <c r="C56" s="966">
        <v>383</v>
      </c>
      <c r="D56" s="361">
        <v>26250</v>
      </c>
      <c r="E56" s="967">
        <v>28263</v>
      </c>
      <c r="F56" s="959">
        <v>0</v>
      </c>
      <c r="G56" s="959">
        <v>0</v>
      </c>
      <c r="H56" s="970">
        <f t="shared" si="13"/>
        <v>54896</v>
      </c>
      <c r="I56" s="103">
        <v>19530</v>
      </c>
      <c r="J56" s="609"/>
      <c r="K56" s="767"/>
      <c r="L56" s="767"/>
      <c r="M56" s="767"/>
      <c r="N56" s="767"/>
      <c r="O56" s="767"/>
      <c r="P56" s="767"/>
      <c r="Q56" s="767"/>
      <c r="R56" s="767"/>
      <c r="S56" s="767"/>
    </row>
    <row r="57" spans="1:19" ht="15" x14ac:dyDescent="0.2">
      <c r="A57" s="765" t="s">
        <v>84</v>
      </c>
      <c r="B57" s="968">
        <f t="shared" si="12"/>
        <v>0</v>
      </c>
      <c r="C57" s="1027">
        <v>0</v>
      </c>
      <c r="D57" s="1027">
        <v>0</v>
      </c>
      <c r="E57" s="1027">
        <v>0</v>
      </c>
      <c r="F57" s="959">
        <v>0</v>
      </c>
      <c r="G57" s="959">
        <v>0</v>
      </c>
      <c r="H57" s="970">
        <f t="shared" si="13"/>
        <v>0</v>
      </c>
      <c r="I57" s="103">
        <v>0</v>
      </c>
      <c r="J57" s="609"/>
      <c r="K57" s="767"/>
      <c r="L57" s="767"/>
      <c r="M57" s="767"/>
      <c r="N57" s="767"/>
      <c r="O57" s="767"/>
      <c r="P57" s="767"/>
      <c r="Q57" s="767"/>
      <c r="R57" s="767"/>
      <c r="S57" s="767"/>
    </row>
    <row r="58" spans="1:19" ht="15" x14ac:dyDescent="0.2">
      <c r="A58" s="765" t="s">
        <v>286</v>
      </c>
      <c r="B58" s="968">
        <f t="shared" si="12"/>
        <v>50000</v>
      </c>
      <c r="C58" s="966">
        <v>5000</v>
      </c>
      <c r="D58" s="361">
        <v>10000</v>
      </c>
      <c r="E58" s="967">
        <v>35000</v>
      </c>
      <c r="F58" s="959">
        <v>0</v>
      </c>
      <c r="G58" s="1026">
        <v>10000</v>
      </c>
      <c r="H58" s="970">
        <f t="shared" si="13"/>
        <v>60000</v>
      </c>
      <c r="I58" s="103">
        <v>0</v>
      </c>
      <c r="J58" s="610"/>
      <c r="K58" s="767"/>
      <c r="L58" s="767"/>
      <c r="M58" s="767"/>
      <c r="N58" s="767"/>
      <c r="O58" s="767"/>
      <c r="P58" s="767"/>
      <c r="Q58" s="767"/>
      <c r="R58" s="767"/>
      <c r="S58" s="767"/>
    </row>
    <row r="59" spans="1:19" ht="30.75" thickBot="1" x14ac:dyDescent="0.25">
      <c r="A59" s="766" t="s">
        <v>311</v>
      </c>
      <c r="B59" s="968">
        <f t="shared" si="12"/>
        <v>0</v>
      </c>
      <c r="C59" s="1027">
        <v>0</v>
      </c>
      <c r="D59" s="1027">
        <v>0</v>
      </c>
      <c r="E59" s="1027">
        <v>0</v>
      </c>
      <c r="F59" s="959">
        <v>0</v>
      </c>
      <c r="G59" s="959">
        <v>0</v>
      </c>
      <c r="H59" s="970">
        <f t="shared" si="13"/>
        <v>0</v>
      </c>
      <c r="I59" s="103">
        <v>0</v>
      </c>
      <c r="J59" s="331"/>
      <c r="K59" s="331"/>
      <c r="L59" s="331"/>
      <c r="M59" s="331"/>
      <c r="N59" s="331"/>
      <c r="P59" s="767"/>
      <c r="Q59" s="767"/>
      <c r="R59" s="767"/>
      <c r="S59" s="767"/>
    </row>
    <row r="60" spans="1:19" ht="15.75" thickBot="1" x14ac:dyDescent="0.25">
      <c r="A60" s="811" t="s">
        <v>312</v>
      </c>
      <c r="B60" s="974">
        <f>SUM(B47:B59)</f>
        <v>280396</v>
      </c>
      <c r="C60" s="975">
        <f>SUM(C47:C59)</f>
        <v>108083</v>
      </c>
      <c r="D60" s="976">
        <f t="shared" ref="D60" si="14">SUM(D47:D59)</f>
        <v>94250</v>
      </c>
      <c r="E60" s="1023">
        <f t="shared" ref="E60" si="15">SUM(E47:E59)</f>
        <v>78063</v>
      </c>
      <c r="F60" s="974">
        <f t="shared" ref="F60" si="16">SUM(F47:F59)</f>
        <v>0</v>
      </c>
      <c r="G60" s="974">
        <f t="shared" ref="G60" si="17">SUM(G47:G59)</f>
        <v>11000</v>
      </c>
      <c r="H60" s="977">
        <f t="shared" ref="H60" si="18">SUM(H47:H59)</f>
        <v>291396</v>
      </c>
      <c r="I60" s="978">
        <f t="shared" ref="I60" si="19">SUM(I47:I59)</f>
        <v>26223</v>
      </c>
      <c r="J60" s="609"/>
      <c r="K60" s="767"/>
      <c r="L60" s="767"/>
      <c r="M60" s="767"/>
      <c r="N60" s="767"/>
      <c r="O60" s="767"/>
      <c r="P60" s="767"/>
      <c r="Q60" s="767"/>
      <c r="R60" s="767"/>
      <c r="S60" s="767"/>
    </row>
    <row r="61" spans="1:19" ht="15" x14ac:dyDescent="0.2">
      <c r="A61" s="611"/>
      <c r="B61" s="612"/>
      <c r="C61" s="612"/>
      <c r="D61" s="612"/>
      <c r="E61" s="612"/>
      <c r="F61" s="612"/>
      <c r="G61" s="604"/>
      <c r="H61" s="604"/>
      <c r="I61" s="604"/>
      <c r="J61" s="604"/>
      <c r="K61" s="767"/>
      <c r="L61" s="767"/>
      <c r="M61" s="767"/>
      <c r="N61" s="767"/>
      <c r="O61" s="767"/>
      <c r="P61" s="767"/>
      <c r="Q61" s="767"/>
      <c r="R61" s="767"/>
      <c r="S61" s="767"/>
    </row>
    <row r="62" spans="1:19" ht="15" x14ac:dyDescent="0.2">
      <c r="A62" s="611"/>
      <c r="B62" s="754"/>
      <c r="C62" s="612"/>
      <c r="D62" s="612"/>
      <c r="E62" s="612"/>
      <c r="F62" s="612"/>
      <c r="G62" s="604"/>
      <c r="H62" s="217"/>
      <c r="I62" s="604"/>
      <c r="J62" s="604"/>
      <c r="K62" s="767"/>
      <c r="L62" s="767"/>
      <c r="M62" s="767"/>
      <c r="N62" s="767"/>
      <c r="O62" s="767"/>
      <c r="P62" s="767"/>
      <c r="Q62" s="767"/>
      <c r="R62" s="767"/>
      <c r="S62" s="767"/>
    </row>
    <row r="63" spans="1:19" ht="15" x14ac:dyDescent="0.2">
      <c r="A63" s="611"/>
      <c r="B63" s="612"/>
      <c r="C63" s="612"/>
      <c r="D63" s="612"/>
      <c r="E63" s="612"/>
      <c r="F63" s="612"/>
      <c r="G63" s="604"/>
      <c r="H63" s="604"/>
      <c r="I63" s="1172"/>
      <c r="J63" s="604"/>
      <c r="K63" s="767"/>
      <c r="L63" s="767"/>
      <c r="M63" s="767"/>
      <c r="N63" s="767"/>
      <c r="O63" s="767"/>
      <c r="P63" s="767"/>
      <c r="Q63" s="767"/>
      <c r="R63" s="767"/>
      <c r="S63" s="767"/>
    </row>
    <row r="64" spans="1:19" ht="15.75" x14ac:dyDescent="0.2">
      <c r="A64" s="101"/>
      <c r="B64" s="613"/>
      <c r="C64" s="613"/>
      <c r="D64" s="613"/>
      <c r="E64" s="613"/>
      <c r="F64" s="613"/>
      <c r="G64" s="604"/>
      <c r="H64" s="604"/>
      <c r="I64" s="604"/>
      <c r="J64" s="604"/>
      <c r="K64" s="767"/>
      <c r="L64" s="767"/>
      <c r="M64" s="767"/>
      <c r="N64" s="767"/>
      <c r="O64" s="767"/>
      <c r="P64" s="767"/>
      <c r="Q64" s="767"/>
      <c r="R64" s="767"/>
      <c r="S64" s="767"/>
    </row>
    <row r="65" spans="1:19" ht="15.75" x14ac:dyDescent="0.2">
      <c r="A65" s="101"/>
      <c r="B65" s="613"/>
      <c r="C65" s="613"/>
      <c r="D65" s="613"/>
      <c r="E65" s="613"/>
      <c r="F65" s="613"/>
      <c r="G65" s="604"/>
      <c r="H65" s="604"/>
      <c r="I65" s="604"/>
      <c r="J65" s="604"/>
      <c r="K65" s="767"/>
      <c r="L65" s="767"/>
      <c r="M65" s="767"/>
      <c r="N65" s="767"/>
      <c r="O65" s="767"/>
      <c r="P65" s="767"/>
      <c r="Q65" s="767"/>
      <c r="R65" s="767"/>
      <c r="S65" s="767"/>
    </row>
    <row r="66" spans="1:19" ht="15.75" x14ac:dyDescent="0.2">
      <c r="B66" s="614"/>
      <c r="C66" s="614"/>
      <c r="D66" s="614"/>
      <c r="E66" s="614"/>
      <c r="F66" s="614"/>
      <c r="G66" s="604"/>
      <c r="H66" s="604"/>
      <c r="I66" s="604"/>
      <c r="J66" s="604"/>
      <c r="K66" s="767"/>
      <c r="L66" s="767"/>
      <c r="M66" s="767"/>
      <c r="N66" s="767"/>
      <c r="O66" s="767"/>
      <c r="P66" s="767"/>
      <c r="Q66" s="767"/>
      <c r="R66" s="767"/>
      <c r="S66" s="767"/>
    </row>
    <row r="67" spans="1:19" ht="15" x14ac:dyDescent="0.2">
      <c r="B67" s="767"/>
      <c r="C67" s="767"/>
      <c r="D67" s="767"/>
      <c r="E67" s="767"/>
      <c r="F67" s="767"/>
      <c r="G67" s="767"/>
      <c r="H67" s="604"/>
      <c r="I67" s="604"/>
      <c r="J67" s="604"/>
      <c r="K67" s="767"/>
      <c r="L67" s="767"/>
      <c r="M67" s="767"/>
      <c r="N67" s="767"/>
      <c r="O67" s="767"/>
      <c r="P67" s="767"/>
      <c r="Q67" s="767"/>
      <c r="R67" s="767"/>
      <c r="S67" s="767"/>
    </row>
    <row r="68" spans="1:19" ht="15.75" x14ac:dyDescent="0.2">
      <c r="B68" s="614"/>
      <c r="C68" s="614"/>
      <c r="D68" s="614"/>
      <c r="E68" s="614"/>
      <c r="F68" s="614"/>
      <c r="G68" s="604"/>
      <c r="H68" s="604"/>
      <c r="I68" s="604"/>
      <c r="J68" s="604"/>
      <c r="K68" s="767"/>
      <c r="L68" s="767"/>
      <c r="M68" s="767"/>
      <c r="N68" s="767"/>
      <c r="O68" s="767"/>
      <c r="P68" s="767"/>
      <c r="Q68" s="767"/>
      <c r="R68" s="767"/>
      <c r="S68" s="767"/>
    </row>
    <row r="69" spans="1:19" ht="15.75" x14ac:dyDescent="0.2">
      <c r="B69" s="614"/>
      <c r="C69" s="614"/>
      <c r="D69" s="614"/>
      <c r="E69" s="614"/>
      <c r="F69" s="614"/>
      <c r="G69" s="604"/>
      <c r="H69" s="604"/>
      <c r="I69" s="604"/>
      <c r="J69" s="604"/>
      <c r="K69" s="767"/>
      <c r="L69" s="767"/>
      <c r="M69" s="767"/>
      <c r="N69" s="767"/>
      <c r="O69" s="767"/>
      <c r="P69" s="767"/>
      <c r="Q69" s="767"/>
      <c r="R69" s="767"/>
      <c r="S69" s="767"/>
    </row>
    <row r="70" spans="1:19" ht="15.75" x14ac:dyDescent="0.2">
      <c r="B70" s="614"/>
      <c r="C70" s="614"/>
      <c r="D70" s="614"/>
      <c r="E70" s="614"/>
      <c r="F70" s="614"/>
      <c r="G70" s="604"/>
      <c r="H70" s="604"/>
      <c r="I70" s="604"/>
      <c r="J70" s="604"/>
      <c r="K70" s="767"/>
      <c r="L70" s="767"/>
      <c r="M70" s="767"/>
      <c r="N70" s="767"/>
      <c r="O70" s="767"/>
      <c r="P70" s="767"/>
      <c r="Q70" s="767"/>
      <c r="R70" s="767"/>
      <c r="S70" s="767"/>
    </row>
    <row r="71" spans="1:19" ht="15.75" x14ac:dyDescent="0.2">
      <c r="B71" s="614"/>
      <c r="C71" s="614"/>
      <c r="D71" s="614"/>
      <c r="E71" s="614"/>
      <c r="F71" s="614"/>
      <c r="G71" s="604"/>
      <c r="H71" s="604"/>
      <c r="I71" s="604"/>
      <c r="J71" s="604"/>
      <c r="K71" s="767"/>
      <c r="L71" s="767"/>
      <c r="M71" s="767"/>
      <c r="N71" s="767"/>
      <c r="O71" s="767"/>
      <c r="P71" s="767"/>
      <c r="Q71" s="767"/>
      <c r="R71" s="767"/>
      <c r="S71" s="767"/>
    </row>
    <row r="72" spans="1:19" ht="15.75" x14ac:dyDescent="0.2">
      <c r="B72" s="614"/>
      <c r="C72" s="614"/>
      <c r="D72" s="614"/>
      <c r="E72" s="614"/>
      <c r="F72" s="614"/>
      <c r="G72" s="604"/>
      <c r="H72" s="604"/>
      <c r="I72" s="604"/>
      <c r="J72" s="604"/>
      <c r="K72" s="767"/>
      <c r="L72" s="767"/>
      <c r="M72" s="767"/>
      <c r="N72" s="767"/>
      <c r="O72" s="767"/>
      <c r="P72" s="767"/>
      <c r="Q72" s="767"/>
      <c r="R72" s="767"/>
      <c r="S72" s="767"/>
    </row>
    <row r="73" spans="1:19" ht="15.75" x14ac:dyDescent="0.2">
      <c r="B73" s="614"/>
      <c r="C73" s="614"/>
      <c r="D73" s="614"/>
      <c r="E73" s="614"/>
      <c r="F73" s="614"/>
      <c r="G73" s="604"/>
      <c r="H73" s="604"/>
      <c r="I73" s="604"/>
      <c r="J73" s="604"/>
      <c r="K73" s="767"/>
      <c r="L73" s="767"/>
      <c r="M73" s="767"/>
      <c r="N73" s="767"/>
      <c r="O73" s="767"/>
      <c r="P73" s="767"/>
      <c r="Q73" s="767"/>
      <c r="R73" s="767"/>
      <c r="S73" s="767"/>
    </row>
    <row r="74" spans="1:19" ht="15.75" x14ac:dyDescent="0.2">
      <c r="B74" s="614"/>
      <c r="C74" s="614"/>
      <c r="D74" s="614"/>
      <c r="E74" s="614"/>
      <c r="F74" s="614"/>
      <c r="G74" s="604"/>
      <c r="H74" s="604"/>
      <c r="I74" s="604"/>
      <c r="J74" s="604"/>
      <c r="K74" s="767"/>
      <c r="L74" s="767"/>
      <c r="M74" s="767"/>
      <c r="N74" s="767"/>
      <c r="O74" s="767"/>
      <c r="P74" s="767"/>
      <c r="Q74" s="767"/>
      <c r="R74" s="767"/>
      <c r="S74" s="767"/>
    </row>
  </sheetData>
  <mergeCells count="24">
    <mergeCell ref="A24:I24"/>
    <mergeCell ref="A44:I44"/>
    <mergeCell ref="A5:I5"/>
    <mergeCell ref="A7:A8"/>
    <mergeCell ref="B7:B8"/>
    <mergeCell ref="C7:E7"/>
    <mergeCell ref="F7:F8"/>
    <mergeCell ref="G7:G8"/>
    <mergeCell ref="H7:H8"/>
    <mergeCell ref="I7:I8"/>
    <mergeCell ref="A26:A27"/>
    <mergeCell ref="B26:B27"/>
    <mergeCell ref="C26:E26"/>
    <mergeCell ref="F26:F27"/>
    <mergeCell ref="G26:G27"/>
    <mergeCell ref="H26:H27"/>
    <mergeCell ref="I26:I27"/>
    <mergeCell ref="A46:A47"/>
    <mergeCell ref="B46:B47"/>
    <mergeCell ref="C46:E46"/>
    <mergeCell ref="F46:F47"/>
    <mergeCell ref="G46:G47"/>
    <mergeCell ref="H46:H47"/>
    <mergeCell ref="I46:I47"/>
  </mergeCells>
  <printOptions horizontalCentered="1"/>
  <pageMargins left="0.31496062992125984" right="0.31496062992125984" top="0.78740157480314965" bottom="0.78740157480314965" header="0.31496062992125984" footer="0.31496062992125984"/>
  <pageSetup paperSize="9" scale="55" orientation="landscape"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18"/>
  <sheetViews>
    <sheetView workbookViewId="0"/>
  </sheetViews>
  <sheetFormatPr defaultColWidth="9.140625" defaultRowHeight="12.75" x14ac:dyDescent="0.2"/>
  <cols>
    <col min="1" max="1" width="7.7109375" style="71" customWidth="1"/>
    <col min="2" max="2" width="70.7109375" style="71" customWidth="1"/>
    <col min="3" max="3" width="13.7109375" style="330" customWidth="1"/>
    <col min="4" max="4" width="13.7109375" style="402" customWidth="1"/>
    <col min="5" max="5" width="16.7109375" style="330" customWidth="1"/>
    <col min="6" max="6" width="16.7109375" style="331" customWidth="1"/>
    <col min="7" max="7" width="16.7109375" style="330" customWidth="1"/>
    <col min="8" max="9" width="16.7109375" style="331" customWidth="1"/>
    <col min="10" max="10" width="16.7109375" style="330" customWidth="1"/>
    <col min="11" max="11" width="10.7109375" style="739" customWidth="1"/>
    <col min="12" max="16384" width="9.140625" style="71"/>
  </cols>
  <sheetData>
    <row r="1" spans="1:13" s="57" customFormat="1" ht="15" customHeight="1" x14ac:dyDescent="0.2">
      <c r="A1" s="399"/>
      <c r="B1" s="399"/>
      <c r="C1" s="616"/>
      <c r="D1" s="747"/>
      <c r="E1" s="400"/>
      <c r="F1" s="624"/>
      <c r="G1" s="400"/>
      <c r="H1" s="624"/>
      <c r="I1" s="624"/>
      <c r="J1" s="400"/>
      <c r="K1" s="726"/>
    </row>
    <row r="2" spans="1:13" s="57" customFormat="1" ht="24" customHeight="1" x14ac:dyDescent="0.2">
      <c r="A2" s="399" t="s">
        <v>486</v>
      </c>
      <c r="B2" s="399"/>
      <c r="C2" s="616"/>
      <c r="D2" s="747"/>
      <c r="E2" s="400"/>
      <c r="F2" s="624"/>
      <c r="G2" s="400"/>
      <c r="H2" s="624"/>
      <c r="I2" s="624"/>
      <c r="J2" s="400"/>
      <c r="K2" s="726"/>
    </row>
    <row r="3" spans="1:13" ht="15" customHeight="1" x14ac:dyDescent="0.2"/>
    <row r="4" spans="1:13" ht="15" customHeight="1" x14ac:dyDescent="0.2">
      <c r="A4" s="611"/>
      <c r="B4" s="611"/>
      <c r="C4" s="611"/>
      <c r="D4" s="748"/>
      <c r="E4" s="749"/>
      <c r="F4" s="750"/>
      <c r="G4" s="749"/>
      <c r="H4" s="750"/>
      <c r="I4" s="750"/>
      <c r="J4" s="749"/>
    </row>
    <row r="5" spans="1:13" ht="20.100000000000001" customHeight="1" x14ac:dyDescent="0.2">
      <c r="A5" s="605" t="s">
        <v>263</v>
      </c>
      <c r="B5" s="605"/>
      <c r="C5" s="617"/>
      <c r="D5" s="751"/>
      <c r="E5" s="620"/>
      <c r="F5" s="752"/>
      <c r="G5" s="620"/>
      <c r="H5" s="752"/>
      <c r="I5" s="752"/>
      <c r="J5" s="620"/>
    </row>
    <row r="6" spans="1:13" ht="15" customHeight="1" thickBot="1" x14ac:dyDescent="0.25">
      <c r="E6" s="749"/>
      <c r="F6" s="750"/>
      <c r="G6" s="749"/>
      <c r="H6" s="750"/>
      <c r="I6" s="750"/>
      <c r="J6" s="749"/>
      <c r="K6" s="177" t="s">
        <v>0</v>
      </c>
    </row>
    <row r="7" spans="1:13" ht="15.95" customHeight="1" x14ac:dyDescent="0.2">
      <c r="A7" s="1210" t="s">
        <v>1</v>
      </c>
      <c r="B7" s="1271"/>
      <c r="C7" s="1244" t="s">
        <v>276</v>
      </c>
      <c r="D7" s="1268" t="s">
        <v>275</v>
      </c>
      <c r="E7" s="1208" t="s">
        <v>283</v>
      </c>
      <c r="F7" s="1209"/>
      <c r="G7" s="1208" t="s">
        <v>390</v>
      </c>
      <c r="H7" s="1212"/>
      <c r="I7" s="1209"/>
      <c r="J7" s="1213" t="s">
        <v>484</v>
      </c>
      <c r="K7" s="1215" t="s">
        <v>485</v>
      </c>
    </row>
    <row r="8" spans="1:13" ht="27" customHeight="1" thickBot="1" x14ac:dyDescent="0.25">
      <c r="A8" s="1211"/>
      <c r="B8" s="1272"/>
      <c r="C8" s="1267"/>
      <c r="D8" s="1269"/>
      <c r="E8" s="267" t="s">
        <v>109</v>
      </c>
      <c r="F8" s="272" t="s">
        <v>110</v>
      </c>
      <c r="G8" s="267" t="s">
        <v>109</v>
      </c>
      <c r="H8" s="268" t="s">
        <v>586</v>
      </c>
      <c r="I8" s="269" t="s">
        <v>587</v>
      </c>
      <c r="J8" s="1214"/>
      <c r="K8" s="1216"/>
    </row>
    <row r="9" spans="1:13" ht="47.25" customHeight="1" x14ac:dyDescent="0.2">
      <c r="A9" s="1262" t="s">
        <v>376</v>
      </c>
      <c r="B9" s="1263"/>
      <c r="C9" s="1251">
        <v>4000000</v>
      </c>
      <c r="D9" s="1254">
        <v>46642</v>
      </c>
      <c r="E9" s="385">
        <f>SUM(E10:E11)</f>
        <v>282548</v>
      </c>
      <c r="F9" s="386">
        <f t="shared" ref="F9:J9" si="0">SUM(F10:F11)</f>
        <v>309641.96000000002</v>
      </c>
      <c r="G9" s="385">
        <f t="shared" ref="G9" si="1">SUM(G10:G11)</f>
        <v>319142</v>
      </c>
      <c r="H9" s="387">
        <f t="shared" si="0"/>
        <v>319142</v>
      </c>
      <c r="I9" s="388">
        <f t="shared" si="0"/>
        <v>238689.19</v>
      </c>
      <c r="J9" s="917">
        <f t="shared" si="0"/>
        <v>292901</v>
      </c>
      <c r="K9" s="340">
        <f t="shared" ref="K9:K23" si="2">J9/G9*100</f>
        <v>91.777641300737599</v>
      </c>
      <c r="L9" s="145"/>
      <c r="M9" s="330"/>
    </row>
    <row r="10" spans="1:13" ht="15" customHeight="1" x14ac:dyDescent="0.2">
      <c r="A10" s="1264" t="s">
        <v>96</v>
      </c>
      <c r="B10" s="339" t="s">
        <v>16</v>
      </c>
      <c r="C10" s="1252"/>
      <c r="D10" s="1255"/>
      <c r="E10" s="335">
        <v>239487</v>
      </c>
      <c r="F10" s="336">
        <v>239486.82</v>
      </c>
      <c r="G10" s="335">
        <v>239487</v>
      </c>
      <c r="H10" s="337">
        <v>239487</v>
      </c>
      <c r="I10" s="336">
        <v>179615.11</v>
      </c>
      <c r="J10" s="918">
        <v>239487</v>
      </c>
      <c r="K10" s="338">
        <f t="shared" si="2"/>
        <v>100</v>
      </c>
      <c r="L10" s="145"/>
      <c r="M10" s="145"/>
    </row>
    <row r="11" spans="1:13" ht="15" customHeight="1" thickBot="1" x14ac:dyDescent="0.25">
      <c r="A11" s="1258"/>
      <c r="B11" s="389" t="s">
        <v>48</v>
      </c>
      <c r="C11" s="1253"/>
      <c r="D11" s="1256"/>
      <c r="E11" s="391">
        <v>43061</v>
      </c>
      <c r="F11" s="390">
        <v>70155.14</v>
      </c>
      <c r="G11" s="391">
        <v>79655</v>
      </c>
      <c r="H11" s="392">
        <v>79655</v>
      </c>
      <c r="I11" s="393">
        <v>59074.080000000002</v>
      </c>
      <c r="J11" s="919">
        <v>53414</v>
      </c>
      <c r="K11" s="394">
        <f t="shared" si="2"/>
        <v>67.056681940869993</v>
      </c>
      <c r="L11" s="145"/>
      <c r="M11" s="330"/>
    </row>
    <row r="12" spans="1:13" ht="47.25" customHeight="1" x14ac:dyDescent="0.2">
      <c r="A12" s="1262" t="s">
        <v>482</v>
      </c>
      <c r="B12" s="1263"/>
      <c r="C12" s="1251">
        <v>2750000</v>
      </c>
      <c r="D12" s="1254">
        <v>45473</v>
      </c>
      <c r="E12" s="385">
        <f>SUM(E13:E14)</f>
        <v>83690</v>
      </c>
      <c r="F12" s="386">
        <f t="shared" ref="F12:J12" si="3">SUM(F13:F14)</f>
        <v>87884.209999999992</v>
      </c>
      <c r="G12" s="385">
        <f t="shared" ref="G12" si="4">SUM(G13:G14)</f>
        <v>84878</v>
      </c>
      <c r="H12" s="387">
        <f t="shared" si="3"/>
        <v>84878</v>
      </c>
      <c r="I12" s="388">
        <f t="shared" si="3"/>
        <v>63981.440000000002</v>
      </c>
      <c r="J12" s="917">
        <f t="shared" si="3"/>
        <v>40045</v>
      </c>
      <c r="K12" s="340">
        <f t="shared" si="2"/>
        <v>47.179481137632841</v>
      </c>
      <c r="L12" s="145"/>
    </row>
    <row r="13" spans="1:13" ht="15" customHeight="1" x14ac:dyDescent="0.2">
      <c r="A13" s="1264" t="s">
        <v>96</v>
      </c>
      <c r="B13" s="339" t="s">
        <v>16</v>
      </c>
      <c r="C13" s="1252"/>
      <c r="D13" s="1255"/>
      <c r="E13" s="335">
        <v>78140</v>
      </c>
      <c r="F13" s="336">
        <v>78140</v>
      </c>
      <c r="G13" s="335">
        <v>78140</v>
      </c>
      <c r="H13" s="337">
        <v>78140</v>
      </c>
      <c r="I13" s="336">
        <v>58605</v>
      </c>
      <c r="J13" s="918">
        <v>39070</v>
      </c>
      <c r="K13" s="338">
        <f t="shared" si="2"/>
        <v>50</v>
      </c>
      <c r="L13" s="145"/>
    </row>
    <row r="14" spans="1:13" ht="15" customHeight="1" thickBot="1" x14ac:dyDescent="0.25">
      <c r="A14" s="1258"/>
      <c r="B14" s="389" t="s">
        <v>48</v>
      </c>
      <c r="C14" s="1253"/>
      <c r="D14" s="1256"/>
      <c r="E14" s="391">
        <v>5550</v>
      </c>
      <c r="F14" s="390">
        <v>9744.2099999999991</v>
      </c>
      <c r="G14" s="391">
        <v>6738</v>
      </c>
      <c r="H14" s="392">
        <v>6738</v>
      </c>
      <c r="I14" s="390">
        <v>5376.44</v>
      </c>
      <c r="J14" s="919">
        <v>975</v>
      </c>
      <c r="K14" s="394">
        <f t="shared" si="2"/>
        <v>14.470169189670527</v>
      </c>
      <c r="L14" s="145"/>
    </row>
    <row r="15" spans="1:13" ht="44.25" customHeight="1" x14ac:dyDescent="0.2">
      <c r="A15" s="1262" t="s">
        <v>389</v>
      </c>
      <c r="B15" s="1263"/>
      <c r="C15" s="1251">
        <v>3050000</v>
      </c>
      <c r="D15" s="1254">
        <v>53973</v>
      </c>
      <c r="E15" s="385">
        <f>SUM(E16:E17)</f>
        <v>48015</v>
      </c>
      <c r="F15" s="386">
        <f t="shared" ref="F15:J15" si="5">SUM(F16:F17)</f>
        <v>40828.19</v>
      </c>
      <c r="G15" s="385">
        <f t="shared" ref="G15" si="6">SUM(G16:G17)</f>
        <v>122517</v>
      </c>
      <c r="H15" s="387">
        <f t="shared" si="5"/>
        <v>122517</v>
      </c>
      <c r="I15" s="388">
        <f t="shared" si="5"/>
        <v>37705.24</v>
      </c>
      <c r="J15" s="917">
        <f t="shared" si="5"/>
        <v>169204</v>
      </c>
      <c r="K15" s="340">
        <f t="shared" si="2"/>
        <v>138.10654847898658</v>
      </c>
      <c r="L15" s="145"/>
    </row>
    <row r="16" spans="1:13" ht="15" customHeight="1" x14ac:dyDescent="0.2">
      <c r="A16" s="1264" t="s">
        <v>96</v>
      </c>
      <c r="B16" s="339" t="s">
        <v>16</v>
      </c>
      <c r="C16" s="1252"/>
      <c r="D16" s="1255"/>
      <c r="E16" s="335">
        <v>0</v>
      </c>
      <c r="F16" s="336">
        <v>0</v>
      </c>
      <c r="G16" s="335">
        <v>0</v>
      </c>
      <c r="H16" s="337">
        <v>0</v>
      </c>
      <c r="I16" s="336">
        <v>0</v>
      </c>
      <c r="J16" s="918">
        <v>8031</v>
      </c>
      <c r="K16" s="886" t="s">
        <v>60</v>
      </c>
      <c r="L16" s="145"/>
    </row>
    <row r="17" spans="1:12" ht="15" customHeight="1" thickBot="1" x14ac:dyDescent="0.25">
      <c r="A17" s="1258"/>
      <c r="B17" s="389" t="s">
        <v>48</v>
      </c>
      <c r="C17" s="1253"/>
      <c r="D17" s="1256"/>
      <c r="E17" s="391">
        <v>48015</v>
      </c>
      <c r="F17" s="390">
        <v>40828.19</v>
      </c>
      <c r="G17" s="391">
        <v>122517</v>
      </c>
      <c r="H17" s="392">
        <v>122517</v>
      </c>
      <c r="I17" s="390">
        <v>37705.24</v>
      </c>
      <c r="J17" s="919">
        <v>161173</v>
      </c>
      <c r="K17" s="394">
        <f t="shared" si="2"/>
        <v>131.55153978631537</v>
      </c>
      <c r="L17" s="145"/>
    </row>
    <row r="18" spans="1:12" ht="30" customHeight="1" x14ac:dyDescent="0.2">
      <c r="A18" s="1262" t="s">
        <v>388</v>
      </c>
      <c r="B18" s="1263"/>
      <c r="C18" s="1251">
        <v>2500000</v>
      </c>
      <c r="D18" s="1254">
        <v>48213</v>
      </c>
      <c r="E18" s="385">
        <f>SUM(E19:E20)</f>
        <v>30500</v>
      </c>
      <c r="F18" s="386">
        <f t="shared" ref="F18:J18" si="7">SUM(F19:F20)</f>
        <v>0</v>
      </c>
      <c r="G18" s="385">
        <f t="shared" ref="G18" si="8">SUM(G19:G20)</f>
        <v>14340</v>
      </c>
      <c r="H18" s="387">
        <f t="shared" si="7"/>
        <v>14340</v>
      </c>
      <c r="I18" s="388">
        <f t="shared" si="7"/>
        <v>0</v>
      </c>
      <c r="J18" s="917">
        <f t="shared" si="7"/>
        <v>9017</v>
      </c>
      <c r="K18" s="340">
        <f t="shared" si="2"/>
        <v>62.880055788005571</v>
      </c>
      <c r="L18" s="145"/>
    </row>
    <row r="19" spans="1:12" ht="15" customHeight="1" x14ac:dyDescent="0.2">
      <c r="A19" s="1264" t="s">
        <v>96</v>
      </c>
      <c r="B19" s="339" t="s">
        <v>16</v>
      </c>
      <c r="C19" s="1252"/>
      <c r="D19" s="1255"/>
      <c r="E19" s="335">
        <v>0</v>
      </c>
      <c r="F19" s="336">
        <v>0</v>
      </c>
      <c r="G19" s="335">
        <v>0</v>
      </c>
      <c r="H19" s="337">
        <v>0</v>
      </c>
      <c r="I19" s="336">
        <v>0</v>
      </c>
      <c r="J19" s="918">
        <v>0</v>
      </c>
      <c r="K19" s="886" t="s">
        <v>60</v>
      </c>
      <c r="L19" s="145"/>
    </row>
    <row r="20" spans="1:12" ht="15" customHeight="1" thickBot="1" x14ac:dyDescent="0.25">
      <c r="A20" s="1258"/>
      <c r="B20" s="389" t="s">
        <v>48</v>
      </c>
      <c r="C20" s="1253"/>
      <c r="D20" s="1256"/>
      <c r="E20" s="391">
        <v>30500</v>
      </c>
      <c r="F20" s="390">
        <v>0</v>
      </c>
      <c r="G20" s="391">
        <v>14340</v>
      </c>
      <c r="H20" s="392">
        <v>14340</v>
      </c>
      <c r="I20" s="390">
        <v>0</v>
      </c>
      <c r="J20" s="919">
        <v>9017</v>
      </c>
      <c r="K20" s="394">
        <f t="shared" si="2"/>
        <v>62.880055788005571</v>
      </c>
      <c r="L20" s="145"/>
    </row>
    <row r="21" spans="1:12" ht="30" customHeight="1" x14ac:dyDescent="0.2">
      <c r="A21" s="1262" t="s">
        <v>387</v>
      </c>
      <c r="B21" s="1263"/>
      <c r="C21" s="1251">
        <v>4000000</v>
      </c>
      <c r="D21" s="1254">
        <v>53692</v>
      </c>
      <c r="E21" s="385">
        <f>SUM(E22:E23)</f>
        <v>35657</v>
      </c>
      <c r="F21" s="386">
        <f t="shared" ref="F21:J21" si="9">SUM(F22:F23)</f>
        <v>0</v>
      </c>
      <c r="G21" s="385">
        <f t="shared" ref="G21" si="10">SUM(G22:G23)</f>
        <v>39780</v>
      </c>
      <c r="H21" s="387">
        <f t="shared" si="9"/>
        <v>39780</v>
      </c>
      <c r="I21" s="388">
        <f t="shared" si="9"/>
        <v>0</v>
      </c>
      <c r="J21" s="917">
        <f t="shared" si="9"/>
        <v>14295</v>
      </c>
      <c r="K21" s="340">
        <f t="shared" si="2"/>
        <v>35.935143288084461</v>
      </c>
      <c r="L21" s="145"/>
    </row>
    <row r="22" spans="1:12" ht="15" customHeight="1" x14ac:dyDescent="0.2">
      <c r="A22" s="1264" t="s">
        <v>96</v>
      </c>
      <c r="B22" s="339" t="s">
        <v>16</v>
      </c>
      <c r="C22" s="1252"/>
      <c r="D22" s="1255"/>
      <c r="E22" s="335">
        <v>0</v>
      </c>
      <c r="F22" s="336">
        <v>0</v>
      </c>
      <c r="G22" s="335">
        <v>0</v>
      </c>
      <c r="H22" s="337">
        <v>0</v>
      </c>
      <c r="I22" s="336">
        <v>0</v>
      </c>
      <c r="J22" s="918">
        <v>0</v>
      </c>
      <c r="K22" s="886" t="s">
        <v>60</v>
      </c>
      <c r="L22" s="145"/>
    </row>
    <row r="23" spans="1:12" ht="15" customHeight="1" thickBot="1" x14ac:dyDescent="0.25">
      <c r="A23" s="1258"/>
      <c r="B23" s="389" t="s">
        <v>48</v>
      </c>
      <c r="C23" s="1253"/>
      <c r="D23" s="1256"/>
      <c r="E23" s="391">
        <v>35657</v>
      </c>
      <c r="F23" s="390">
        <v>0</v>
      </c>
      <c r="G23" s="391">
        <v>39780</v>
      </c>
      <c r="H23" s="392">
        <v>39780</v>
      </c>
      <c r="I23" s="390">
        <v>0</v>
      </c>
      <c r="J23" s="919">
        <v>14295</v>
      </c>
      <c r="K23" s="394">
        <f t="shared" si="2"/>
        <v>35.935143288084461</v>
      </c>
      <c r="L23" s="145"/>
    </row>
    <row r="24" spans="1:12" s="101" customFormat="1" ht="30" customHeight="1" x14ac:dyDescent="0.2">
      <c r="A24" s="412" t="s">
        <v>57</v>
      </c>
      <c r="B24" s="412"/>
      <c r="C24" s="1259" t="s">
        <v>372</v>
      </c>
      <c r="D24" s="1254" t="s">
        <v>372</v>
      </c>
      <c r="E24" s="1045">
        <f t="shared" ref="E24" si="11">SUM(E25:E26)</f>
        <v>480410</v>
      </c>
      <c r="F24" s="386">
        <f t="shared" ref="F24:J24" si="12">SUM(F25:F26)</f>
        <v>438354.36</v>
      </c>
      <c r="G24" s="385">
        <f t="shared" ref="G24" si="13">SUM(G25:G26)</f>
        <v>580657</v>
      </c>
      <c r="H24" s="387">
        <f t="shared" si="12"/>
        <v>580657</v>
      </c>
      <c r="I24" s="1044">
        <f t="shared" si="12"/>
        <v>340375.87</v>
      </c>
      <c r="J24" s="917">
        <f t="shared" si="12"/>
        <v>525462</v>
      </c>
      <c r="K24" s="1198">
        <f>J24/G24*100</f>
        <v>90.49438825330617</v>
      </c>
    </row>
    <row r="25" spans="1:12" s="101" customFormat="1" ht="15" customHeight="1" x14ac:dyDescent="0.2">
      <c r="A25" s="1257" t="s">
        <v>96</v>
      </c>
      <c r="B25" s="401" t="s">
        <v>16</v>
      </c>
      <c r="C25" s="1260"/>
      <c r="D25" s="1255"/>
      <c r="E25" s="335">
        <f>+E10+E13+E16+E19+E22</f>
        <v>317627</v>
      </c>
      <c r="F25" s="795">
        <f t="shared" ref="F25:J25" si="14">+F10+F13+F16+F19+F22</f>
        <v>317626.82</v>
      </c>
      <c r="G25" s="335">
        <f t="shared" si="14"/>
        <v>317627</v>
      </c>
      <c r="H25" s="337">
        <f t="shared" si="14"/>
        <v>317627</v>
      </c>
      <c r="I25" s="795">
        <f t="shared" si="14"/>
        <v>238220.11</v>
      </c>
      <c r="J25" s="1047">
        <f t="shared" si="14"/>
        <v>286588</v>
      </c>
      <c r="K25" s="411">
        <f>J25/G25*100</f>
        <v>90.227845869526206</v>
      </c>
    </row>
    <row r="26" spans="1:12" s="101" customFormat="1" ht="15" customHeight="1" thickBot="1" x14ac:dyDescent="0.25">
      <c r="A26" s="1258"/>
      <c r="B26" s="389" t="s">
        <v>48</v>
      </c>
      <c r="C26" s="1261"/>
      <c r="D26" s="1256"/>
      <c r="E26" s="391">
        <f>+E11+E14+E17+E20+E23</f>
        <v>162783</v>
      </c>
      <c r="F26" s="796">
        <f t="shared" ref="F26:J26" si="15">+F11+F14+F17+F20+F23</f>
        <v>120727.54000000001</v>
      </c>
      <c r="G26" s="391">
        <f t="shared" si="15"/>
        <v>263030</v>
      </c>
      <c r="H26" s="392">
        <f t="shared" si="15"/>
        <v>263030</v>
      </c>
      <c r="I26" s="796">
        <f t="shared" si="15"/>
        <v>102155.76000000001</v>
      </c>
      <c r="J26" s="1048">
        <f t="shared" si="15"/>
        <v>238874</v>
      </c>
      <c r="K26" s="395">
        <f>J26/G26*100</f>
        <v>90.816256700756568</v>
      </c>
    </row>
    <row r="27" spans="1:12" s="101" customFormat="1" ht="20.25" customHeight="1" x14ac:dyDescent="0.2">
      <c r="C27" s="613"/>
      <c r="D27" s="410"/>
      <c r="E27" s="331"/>
      <c r="F27" s="331"/>
      <c r="G27" s="331"/>
      <c r="H27" s="331"/>
      <c r="I27" s="331"/>
      <c r="J27" s="331"/>
      <c r="K27" s="753"/>
    </row>
    <row r="28" spans="1:12" ht="15" customHeight="1" x14ac:dyDescent="0.2">
      <c r="E28" s="331"/>
      <c r="G28" s="331"/>
      <c r="J28" s="331"/>
    </row>
    <row r="29" spans="1:12" ht="15" customHeight="1" x14ac:dyDescent="0.2">
      <c r="E29" s="612"/>
      <c r="F29" s="754"/>
      <c r="G29" s="612"/>
      <c r="H29" s="754"/>
      <c r="I29" s="754"/>
      <c r="J29" s="612"/>
    </row>
    <row r="30" spans="1:12" ht="20.100000000000001" customHeight="1" x14ac:dyDescent="0.2">
      <c r="A30" s="605" t="s">
        <v>50</v>
      </c>
      <c r="B30" s="605"/>
      <c r="C30" s="617"/>
      <c r="D30" s="751"/>
    </row>
    <row r="31" spans="1:12" ht="15" customHeight="1" thickBot="1" x14ac:dyDescent="0.25">
      <c r="E31" s="612"/>
      <c r="F31" s="754"/>
      <c r="G31" s="612"/>
      <c r="H31" s="754"/>
      <c r="I31" s="754"/>
      <c r="J31" s="612"/>
      <c r="K31" s="177" t="s">
        <v>0</v>
      </c>
    </row>
    <row r="32" spans="1:12" s="34" customFormat="1" ht="15.95" customHeight="1" x14ac:dyDescent="0.2">
      <c r="A32" s="1210" t="s">
        <v>1</v>
      </c>
      <c r="B32" s="1271"/>
      <c r="C32" s="1244" t="s">
        <v>276</v>
      </c>
      <c r="D32" s="1268" t="s">
        <v>275</v>
      </c>
      <c r="E32" s="1208" t="s">
        <v>283</v>
      </c>
      <c r="F32" s="1209"/>
      <c r="G32" s="1208" t="s">
        <v>390</v>
      </c>
      <c r="H32" s="1212"/>
      <c r="I32" s="1209"/>
      <c r="J32" s="1213" t="s">
        <v>484</v>
      </c>
      <c r="K32" s="1215" t="s">
        <v>485</v>
      </c>
    </row>
    <row r="33" spans="1:11" s="34" customFormat="1" ht="27" customHeight="1" thickBot="1" x14ac:dyDescent="0.25">
      <c r="A33" s="1211"/>
      <c r="B33" s="1272"/>
      <c r="C33" s="1245"/>
      <c r="D33" s="1270"/>
      <c r="E33" s="267" t="s">
        <v>109</v>
      </c>
      <c r="F33" s="272" t="s">
        <v>110</v>
      </c>
      <c r="G33" s="267" t="s">
        <v>109</v>
      </c>
      <c r="H33" s="268" t="s">
        <v>586</v>
      </c>
      <c r="I33" s="269" t="s">
        <v>587</v>
      </c>
      <c r="J33" s="1214"/>
      <c r="K33" s="1216"/>
    </row>
    <row r="34" spans="1:11" ht="60.75" customHeight="1" x14ac:dyDescent="0.2">
      <c r="A34" s="1273" t="s">
        <v>330</v>
      </c>
      <c r="B34" s="1274"/>
      <c r="C34" s="670">
        <v>685000</v>
      </c>
      <c r="D34" s="396">
        <v>45823</v>
      </c>
      <c r="E34" s="354">
        <v>72365</v>
      </c>
      <c r="F34" s="355">
        <v>71146.87</v>
      </c>
      <c r="G34" s="354">
        <v>72348</v>
      </c>
      <c r="H34" s="356">
        <v>72348</v>
      </c>
      <c r="I34" s="355">
        <v>53503.93</v>
      </c>
      <c r="J34" s="357">
        <v>72322</v>
      </c>
      <c r="K34" s="358">
        <f>J34/G34*100</f>
        <v>99.96406258638801</v>
      </c>
    </row>
    <row r="35" spans="1:11" ht="46.5" customHeight="1" x14ac:dyDescent="0.2">
      <c r="A35" s="1275" t="s">
        <v>268</v>
      </c>
      <c r="B35" s="1276"/>
      <c r="C35" s="671">
        <v>173000</v>
      </c>
      <c r="D35" s="397">
        <v>45823</v>
      </c>
      <c r="E35" s="359">
        <v>17317</v>
      </c>
      <c r="F35" s="360">
        <v>17373.36</v>
      </c>
      <c r="G35" s="359">
        <v>17315</v>
      </c>
      <c r="H35" s="361">
        <v>17315</v>
      </c>
      <c r="I35" s="360">
        <v>13071.4</v>
      </c>
      <c r="J35" s="334">
        <v>17310</v>
      </c>
      <c r="K35" s="362">
        <f>J35/G35*100</f>
        <v>99.971123303494082</v>
      </c>
    </row>
    <row r="36" spans="1:11" ht="43.5" customHeight="1" thickBot="1" x14ac:dyDescent="0.25">
      <c r="A36" s="1277" t="s">
        <v>269</v>
      </c>
      <c r="B36" s="1278"/>
      <c r="C36" s="672">
        <v>985000</v>
      </c>
      <c r="D36" s="398">
        <v>45915</v>
      </c>
      <c r="E36" s="259">
        <v>101558</v>
      </c>
      <c r="F36" s="260">
        <v>102525.29</v>
      </c>
      <c r="G36" s="259">
        <v>101545</v>
      </c>
      <c r="H36" s="363">
        <v>101545</v>
      </c>
      <c r="I36" s="260">
        <v>77625.39</v>
      </c>
      <c r="J36" s="215">
        <v>101473</v>
      </c>
      <c r="K36" s="364">
        <f>J36/G36*100</f>
        <v>99.9290954749126</v>
      </c>
    </row>
    <row r="37" spans="1:11" s="101" customFormat="1" ht="30" customHeight="1" thickBot="1" x14ac:dyDescent="0.25">
      <c r="A37" s="1265" t="s">
        <v>49</v>
      </c>
      <c r="B37" s="1266"/>
      <c r="C37" s="1171" t="s">
        <v>372</v>
      </c>
      <c r="D37" s="1170" t="s">
        <v>372</v>
      </c>
      <c r="E37" s="276">
        <f t="shared" ref="E37:J37" si="16">SUM(E34:E36)</f>
        <v>191240</v>
      </c>
      <c r="F37" s="277">
        <f t="shared" si="16"/>
        <v>191045.52</v>
      </c>
      <c r="G37" s="276">
        <f t="shared" si="16"/>
        <v>191208</v>
      </c>
      <c r="H37" s="279">
        <f t="shared" si="16"/>
        <v>191208</v>
      </c>
      <c r="I37" s="277">
        <f t="shared" si="16"/>
        <v>144200.72</v>
      </c>
      <c r="J37" s="216">
        <f t="shared" si="16"/>
        <v>191105</v>
      </c>
      <c r="K37" s="413">
        <f>J37/G37*100</f>
        <v>99.946131961005818</v>
      </c>
    </row>
    <row r="39" spans="1:11" x14ac:dyDescent="0.2">
      <c r="G39" s="331"/>
    </row>
    <row r="40" spans="1:11" x14ac:dyDescent="0.2">
      <c r="E40" s="331"/>
    </row>
    <row r="45" spans="1:11" ht="15" x14ac:dyDescent="0.2">
      <c r="A45" s="34"/>
      <c r="B45" s="34"/>
      <c r="C45" s="622"/>
      <c r="D45" s="755"/>
      <c r="E45" s="622"/>
      <c r="F45" s="33"/>
      <c r="G45" s="622"/>
      <c r="H45" s="33"/>
      <c r="I45" s="33"/>
      <c r="J45" s="622"/>
    </row>
    <row r="50" spans="1:10" ht="15.75" x14ac:dyDescent="0.2">
      <c r="A50" s="101"/>
      <c r="B50" s="101"/>
      <c r="C50" s="614"/>
      <c r="D50" s="756"/>
      <c r="E50" s="614"/>
      <c r="F50" s="621"/>
      <c r="G50" s="614"/>
      <c r="H50" s="621"/>
      <c r="I50" s="621"/>
      <c r="J50" s="614"/>
    </row>
    <row r="51" spans="1:10" ht="15.75" x14ac:dyDescent="0.2">
      <c r="A51" s="101"/>
      <c r="B51" s="101"/>
      <c r="C51" s="614"/>
      <c r="D51" s="756"/>
      <c r="E51" s="614"/>
      <c r="F51" s="621"/>
      <c r="G51" s="614"/>
      <c r="H51" s="621"/>
      <c r="I51" s="621"/>
      <c r="J51" s="614"/>
    </row>
    <row r="52" spans="1:10" ht="15.75" x14ac:dyDescent="0.2">
      <c r="A52" s="101"/>
      <c r="B52" s="101"/>
      <c r="C52" s="614"/>
      <c r="D52" s="756"/>
      <c r="E52" s="614"/>
      <c r="F52" s="621"/>
      <c r="G52" s="614"/>
      <c r="H52" s="621"/>
      <c r="I52" s="621"/>
      <c r="J52" s="614"/>
    </row>
    <row r="54" spans="1:10" x14ac:dyDescent="0.2">
      <c r="E54" s="623"/>
      <c r="F54" s="619"/>
      <c r="G54" s="623"/>
      <c r="H54" s="619"/>
      <c r="I54" s="619"/>
      <c r="J54" s="623"/>
    </row>
    <row r="56" spans="1:10" ht="15.75" x14ac:dyDescent="0.2">
      <c r="A56" s="101"/>
      <c r="B56" s="101"/>
      <c r="C56" s="614"/>
      <c r="D56" s="756"/>
      <c r="E56" s="614"/>
      <c r="F56" s="621"/>
      <c r="G56" s="614"/>
      <c r="H56" s="621"/>
      <c r="I56" s="621"/>
      <c r="J56" s="614"/>
    </row>
    <row r="57" spans="1:10" x14ac:dyDescent="0.2">
      <c r="A57" s="618"/>
      <c r="B57" s="618"/>
      <c r="C57" s="623"/>
      <c r="D57" s="757"/>
    </row>
    <row r="58" spans="1:10" ht="15.75" x14ac:dyDescent="0.2">
      <c r="A58" s="101"/>
      <c r="B58" s="101"/>
      <c r="C58" s="614"/>
      <c r="D58" s="756"/>
      <c r="E58" s="614"/>
      <c r="F58" s="621"/>
      <c r="G58" s="614"/>
      <c r="H58" s="621"/>
      <c r="I58" s="621"/>
      <c r="J58" s="614"/>
    </row>
    <row r="59" spans="1:10" ht="15.75" x14ac:dyDescent="0.2">
      <c r="A59" s="101"/>
      <c r="B59" s="101"/>
      <c r="C59" s="614"/>
      <c r="D59" s="756"/>
      <c r="E59" s="614"/>
      <c r="F59" s="621"/>
      <c r="G59" s="614"/>
      <c r="H59" s="621"/>
      <c r="I59" s="621"/>
      <c r="J59" s="614"/>
    </row>
    <row r="60" spans="1:10" ht="15.75" x14ac:dyDescent="0.2">
      <c r="A60" s="101"/>
      <c r="B60" s="101"/>
      <c r="C60" s="614"/>
      <c r="D60" s="756"/>
      <c r="E60" s="614"/>
      <c r="F60" s="621"/>
      <c r="G60" s="614"/>
      <c r="H60" s="621"/>
      <c r="I60" s="621"/>
      <c r="J60" s="614"/>
    </row>
    <row r="61" spans="1:10" ht="15.75" x14ac:dyDescent="0.2">
      <c r="A61" s="101"/>
      <c r="B61" s="101"/>
      <c r="C61" s="614"/>
      <c r="D61" s="756"/>
      <c r="E61" s="614"/>
      <c r="F61" s="621"/>
      <c r="G61" s="614"/>
      <c r="H61" s="621"/>
      <c r="I61" s="621"/>
      <c r="J61" s="614"/>
    </row>
    <row r="418" spans="1:12" x14ac:dyDescent="0.2">
      <c r="A418" s="402"/>
      <c r="B418" s="402"/>
      <c r="L418" s="402"/>
    </row>
  </sheetData>
  <mergeCells count="41">
    <mergeCell ref="A37:B37"/>
    <mergeCell ref="C7:C8"/>
    <mergeCell ref="D7:D8"/>
    <mergeCell ref="C32:C33"/>
    <mergeCell ref="D32:D33"/>
    <mergeCell ref="A32:B33"/>
    <mergeCell ref="A7:B8"/>
    <mergeCell ref="A15:B15"/>
    <mergeCell ref="A12:B12"/>
    <mergeCell ref="A9:B9"/>
    <mergeCell ref="A34:B34"/>
    <mergeCell ref="A35:B35"/>
    <mergeCell ref="A36:B36"/>
    <mergeCell ref="A10:A11"/>
    <mergeCell ref="A13:A14"/>
    <mergeCell ref="A16:A17"/>
    <mergeCell ref="A25:A26"/>
    <mergeCell ref="C24:C26"/>
    <mergeCell ref="D24:D26"/>
    <mergeCell ref="A18:B18"/>
    <mergeCell ref="C18:C20"/>
    <mergeCell ref="D18:D20"/>
    <mergeCell ref="A19:A20"/>
    <mergeCell ref="A21:B21"/>
    <mergeCell ref="C21:C23"/>
    <mergeCell ref="D21:D23"/>
    <mergeCell ref="A22:A23"/>
    <mergeCell ref="C9:C11"/>
    <mergeCell ref="D9:D11"/>
    <mergeCell ref="C12:C14"/>
    <mergeCell ref="D12:D14"/>
    <mergeCell ref="C15:C17"/>
    <mergeCell ref="D15:D17"/>
    <mergeCell ref="J32:J33"/>
    <mergeCell ref="K32:K33"/>
    <mergeCell ref="J7:J8"/>
    <mergeCell ref="E7:F7"/>
    <mergeCell ref="G7:I7"/>
    <mergeCell ref="K7:K8"/>
    <mergeCell ref="E32:F32"/>
    <mergeCell ref="G32:I32"/>
  </mergeCells>
  <phoneticPr fontId="8" type="noConversion"/>
  <printOptions horizontalCentered="1"/>
  <pageMargins left="0.59055118110236227" right="0.59055118110236227" top="0.78740157480314965" bottom="0.78740157480314965" header="0.59055118110236227" footer="0.59055118110236227"/>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2"/>
  <sheetViews>
    <sheetView workbookViewId="0"/>
  </sheetViews>
  <sheetFormatPr defaultColWidth="9.140625" defaultRowHeight="12.75" x14ac:dyDescent="0.2"/>
  <cols>
    <col min="1" max="1" width="7" style="29" customWidth="1"/>
    <col min="2" max="2" width="59.7109375" style="29" customWidth="1"/>
    <col min="3" max="4" width="16.7109375" style="31" customWidth="1"/>
    <col min="5" max="5" width="16.7109375" style="40" customWidth="1"/>
    <col min="6" max="8" width="16.7109375" style="31" customWidth="1"/>
    <col min="9" max="9" width="10.7109375" style="37" customWidth="1"/>
    <col min="10" max="10" width="10.42578125" style="29" bestFit="1" customWidth="1"/>
    <col min="11" max="16384" width="9.140625" style="29"/>
  </cols>
  <sheetData>
    <row r="1" spans="1:10" ht="15" customHeight="1" x14ac:dyDescent="0.35">
      <c r="A1" s="27"/>
      <c r="B1" s="27"/>
    </row>
    <row r="2" spans="1:10" ht="20.100000000000001" customHeight="1" x14ac:dyDescent="0.35">
      <c r="A2" s="27" t="s">
        <v>486</v>
      </c>
      <c r="B2" s="27"/>
    </row>
    <row r="3" spans="1:10" ht="15" customHeight="1" x14ac:dyDescent="0.2"/>
    <row r="4" spans="1:10" ht="20.100000000000001" customHeight="1" x14ac:dyDescent="0.3">
      <c r="A4" s="39" t="s">
        <v>75</v>
      </c>
      <c r="B4" s="39"/>
    </row>
    <row r="5" spans="1:10" ht="15" customHeight="1" x14ac:dyDescent="0.3">
      <c r="A5" s="39"/>
      <c r="B5" s="39"/>
    </row>
    <row r="6" spans="1:10" ht="15" customHeight="1" thickBot="1" x14ac:dyDescent="0.3">
      <c r="I6" s="32" t="s">
        <v>0</v>
      </c>
    </row>
    <row r="7" spans="1:10" s="47" customFormat="1" ht="15.95" customHeight="1" x14ac:dyDescent="0.2">
      <c r="A7" s="1210" t="s">
        <v>1</v>
      </c>
      <c r="B7" s="1271"/>
      <c r="C7" s="1208" t="s">
        <v>283</v>
      </c>
      <c r="D7" s="1209"/>
      <c r="E7" s="1208" t="s">
        <v>390</v>
      </c>
      <c r="F7" s="1212"/>
      <c r="G7" s="1209"/>
      <c r="H7" s="1213" t="s">
        <v>484</v>
      </c>
      <c r="I7" s="1215" t="s">
        <v>485</v>
      </c>
    </row>
    <row r="8" spans="1:10" s="47" customFormat="1" ht="27" customHeight="1" thickBot="1" x14ac:dyDescent="0.25">
      <c r="A8" s="1211"/>
      <c r="B8" s="1272"/>
      <c r="C8" s="267" t="s">
        <v>109</v>
      </c>
      <c r="D8" s="272" t="s">
        <v>110</v>
      </c>
      <c r="E8" s="267" t="s">
        <v>109</v>
      </c>
      <c r="F8" s="268" t="s">
        <v>586</v>
      </c>
      <c r="G8" s="269" t="s">
        <v>587</v>
      </c>
      <c r="H8" s="1214"/>
      <c r="I8" s="1216"/>
    </row>
    <row r="9" spans="1:10" ht="20.100000000000001" customHeight="1" x14ac:dyDescent="0.2">
      <c r="A9" s="245" t="s">
        <v>51</v>
      </c>
      <c r="B9" s="246"/>
      <c r="C9" s="784">
        <f t="shared" ref="C9" si="0">SUM(C10:C26)</f>
        <v>433000</v>
      </c>
      <c r="D9" s="248">
        <f t="shared" ref="D9:H9" si="1">SUM(D10:D26)</f>
        <v>457060.79</v>
      </c>
      <c r="E9" s="784">
        <f t="shared" si="1"/>
        <v>356000</v>
      </c>
      <c r="F9" s="780">
        <f t="shared" si="1"/>
        <v>737018.71</v>
      </c>
      <c r="G9" s="255">
        <f t="shared" si="1"/>
        <v>183092.86</v>
      </c>
      <c r="H9" s="920">
        <f t="shared" si="1"/>
        <v>639500</v>
      </c>
      <c r="I9" s="175">
        <f t="shared" ref="I9:I36" si="2">H9/E9*100</f>
        <v>179.63483146067415</v>
      </c>
    </row>
    <row r="10" spans="1:10" s="48" customFormat="1" ht="15" customHeight="1" x14ac:dyDescent="0.2">
      <c r="A10" s="1279" t="s">
        <v>96</v>
      </c>
      <c r="B10" s="249" t="s">
        <v>315</v>
      </c>
      <c r="C10" s="251">
        <v>0</v>
      </c>
      <c r="D10" s="250">
        <v>950</v>
      </c>
      <c r="E10" s="251">
        <v>0</v>
      </c>
      <c r="F10" s="781">
        <v>0</v>
      </c>
      <c r="G10" s="252">
        <v>0</v>
      </c>
      <c r="H10" s="939">
        <v>0</v>
      </c>
      <c r="I10" s="253" t="s">
        <v>60</v>
      </c>
      <c r="J10" s="409"/>
    </row>
    <row r="11" spans="1:10" s="48" customFormat="1" ht="15" customHeight="1" x14ac:dyDescent="0.2">
      <c r="A11" s="1280"/>
      <c r="B11" s="249" t="s">
        <v>305</v>
      </c>
      <c r="C11" s="251">
        <v>60000</v>
      </c>
      <c r="D11" s="250">
        <v>26579.75</v>
      </c>
      <c r="E11" s="251">
        <v>32000</v>
      </c>
      <c r="F11" s="781">
        <v>81215.570000000007</v>
      </c>
      <c r="G11" s="252">
        <v>10767.71</v>
      </c>
      <c r="H11" s="939">
        <v>61000</v>
      </c>
      <c r="I11" s="253">
        <f t="shared" si="2"/>
        <v>190.625</v>
      </c>
      <c r="J11" s="409"/>
    </row>
    <row r="12" spans="1:10" s="48" customFormat="1" ht="15" customHeight="1" x14ac:dyDescent="0.2">
      <c r="A12" s="1280"/>
      <c r="B12" s="249" t="s">
        <v>239</v>
      </c>
      <c r="C12" s="251">
        <v>21000</v>
      </c>
      <c r="D12" s="250">
        <v>20523.04</v>
      </c>
      <c r="E12" s="251">
        <v>12000</v>
      </c>
      <c r="F12" s="781">
        <v>25900</v>
      </c>
      <c r="G12" s="252">
        <v>14011.37</v>
      </c>
      <c r="H12" s="939">
        <v>30000</v>
      </c>
      <c r="I12" s="253">
        <f t="shared" si="2"/>
        <v>250</v>
      </c>
      <c r="J12" s="409"/>
    </row>
    <row r="13" spans="1:10" s="48" customFormat="1" ht="15" customHeight="1" x14ac:dyDescent="0.2">
      <c r="A13" s="1280"/>
      <c r="B13" s="249" t="s">
        <v>251</v>
      </c>
      <c r="C13" s="251">
        <v>0</v>
      </c>
      <c r="D13" s="250">
        <v>5769.28</v>
      </c>
      <c r="E13" s="251">
        <v>0</v>
      </c>
      <c r="F13" s="781">
        <v>15466.92</v>
      </c>
      <c r="G13" s="252">
        <v>1412.32</v>
      </c>
      <c r="H13" s="939">
        <v>10000</v>
      </c>
      <c r="I13" s="253" t="s">
        <v>60</v>
      </c>
      <c r="J13" s="409"/>
    </row>
    <row r="14" spans="1:10" s="48" customFormat="1" ht="15" customHeight="1" x14ac:dyDescent="0.2">
      <c r="A14" s="1280"/>
      <c r="B14" s="249" t="s">
        <v>328</v>
      </c>
      <c r="C14" s="251">
        <v>0</v>
      </c>
      <c r="D14" s="250">
        <v>3562.63</v>
      </c>
      <c r="E14" s="251">
        <v>6000</v>
      </c>
      <c r="F14" s="781">
        <v>6395.66</v>
      </c>
      <c r="G14" s="252">
        <v>395.65</v>
      </c>
      <c r="H14" s="939">
        <v>6000</v>
      </c>
      <c r="I14" s="253">
        <f t="shared" si="2"/>
        <v>100</v>
      </c>
      <c r="J14" s="409"/>
    </row>
    <row r="15" spans="1:10" s="48" customFormat="1" ht="15" customHeight="1" x14ac:dyDescent="0.2">
      <c r="A15" s="1280"/>
      <c r="B15" s="249" t="s">
        <v>79</v>
      </c>
      <c r="C15" s="251">
        <v>0</v>
      </c>
      <c r="D15" s="250">
        <v>4596.4799999999996</v>
      </c>
      <c r="E15" s="251">
        <v>0</v>
      </c>
      <c r="F15" s="781">
        <v>2943.34</v>
      </c>
      <c r="G15" s="252">
        <v>2943.34</v>
      </c>
      <c r="H15" s="939">
        <v>0</v>
      </c>
      <c r="I15" s="253" t="s">
        <v>60</v>
      </c>
      <c r="J15" s="409"/>
    </row>
    <row r="16" spans="1:10" s="48" customFormat="1" ht="15" customHeight="1" x14ac:dyDescent="0.2">
      <c r="A16" s="1280"/>
      <c r="B16" s="249" t="s">
        <v>260</v>
      </c>
      <c r="C16" s="251">
        <v>6000</v>
      </c>
      <c r="D16" s="250">
        <v>0</v>
      </c>
      <c r="E16" s="251">
        <v>0</v>
      </c>
      <c r="F16" s="782">
        <v>0</v>
      </c>
      <c r="G16" s="374">
        <v>0</v>
      </c>
      <c r="H16" s="939">
        <v>0</v>
      </c>
      <c r="I16" s="253" t="s">
        <v>60</v>
      </c>
      <c r="J16" s="409"/>
    </row>
    <row r="17" spans="1:10" s="48" customFormat="1" ht="15" customHeight="1" x14ac:dyDescent="0.2">
      <c r="A17" s="1280"/>
      <c r="B17" s="249" t="s">
        <v>380</v>
      </c>
      <c r="C17" s="251">
        <v>40000</v>
      </c>
      <c r="D17" s="250">
        <v>46658.14</v>
      </c>
      <c r="E17" s="251">
        <v>40000</v>
      </c>
      <c r="F17" s="781">
        <v>129650.62</v>
      </c>
      <c r="G17" s="252">
        <v>29650.62</v>
      </c>
      <c r="H17" s="939">
        <v>54000</v>
      </c>
      <c r="I17" s="253">
        <f t="shared" si="2"/>
        <v>135</v>
      </c>
      <c r="J17" s="409"/>
    </row>
    <row r="18" spans="1:10" s="48" customFormat="1" ht="15" customHeight="1" x14ac:dyDescent="0.2">
      <c r="A18" s="1280"/>
      <c r="B18" s="249" t="s">
        <v>80</v>
      </c>
      <c r="C18" s="251">
        <v>100000</v>
      </c>
      <c r="D18" s="250">
        <v>84002.98</v>
      </c>
      <c r="E18" s="251">
        <v>80000</v>
      </c>
      <c r="F18" s="781">
        <v>110521.15</v>
      </c>
      <c r="G18" s="252">
        <v>60237.79</v>
      </c>
      <c r="H18" s="939">
        <v>243000</v>
      </c>
      <c r="I18" s="253">
        <f t="shared" si="2"/>
        <v>303.75</v>
      </c>
      <c r="J18" s="409"/>
    </row>
    <row r="19" spans="1:10" s="48" customFormat="1" ht="15" customHeight="1" x14ac:dyDescent="0.2">
      <c r="A19" s="1280"/>
      <c r="B19" s="249" t="s">
        <v>227</v>
      </c>
      <c r="C19" s="251">
        <v>0</v>
      </c>
      <c r="D19" s="250">
        <v>4000</v>
      </c>
      <c r="E19" s="251">
        <v>0</v>
      </c>
      <c r="F19" s="782">
        <v>20000</v>
      </c>
      <c r="G19" s="1193">
        <v>8000</v>
      </c>
      <c r="H19" s="939">
        <v>0</v>
      </c>
      <c r="I19" s="253" t="s">
        <v>60</v>
      </c>
      <c r="J19" s="409"/>
    </row>
    <row r="20" spans="1:10" s="48" customFormat="1" ht="15" customHeight="1" x14ac:dyDescent="0.2">
      <c r="A20" s="1280"/>
      <c r="B20" s="249" t="s">
        <v>273</v>
      </c>
      <c r="C20" s="251">
        <v>6000</v>
      </c>
      <c r="D20" s="250">
        <v>12989.98</v>
      </c>
      <c r="E20" s="251">
        <v>4000</v>
      </c>
      <c r="F20" s="782">
        <v>35044.5</v>
      </c>
      <c r="G20" s="374">
        <v>9132.19</v>
      </c>
      <c r="H20" s="939">
        <v>10000</v>
      </c>
      <c r="I20" s="253">
        <f t="shared" si="2"/>
        <v>250</v>
      </c>
      <c r="J20" s="409"/>
    </row>
    <row r="21" spans="1:10" s="48" customFormat="1" ht="15" customHeight="1" x14ac:dyDescent="0.2">
      <c r="A21" s="1280"/>
      <c r="B21" s="249" t="s">
        <v>291</v>
      </c>
      <c r="C21" s="251">
        <v>20000</v>
      </c>
      <c r="D21" s="250">
        <v>9242.25</v>
      </c>
      <c r="E21" s="251">
        <v>0</v>
      </c>
      <c r="F21" s="782">
        <v>22204</v>
      </c>
      <c r="G21" s="374">
        <v>3540</v>
      </c>
      <c r="H21" s="939">
        <v>0</v>
      </c>
      <c r="I21" s="253" t="s">
        <v>60</v>
      </c>
      <c r="J21" s="409"/>
    </row>
    <row r="22" spans="1:10" s="48" customFormat="1" ht="15" customHeight="1" x14ac:dyDescent="0.2">
      <c r="A22" s="1280"/>
      <c r="B22" s="249" t="s">
        <v>252</v>
      </c>
      <c r="C22" s="251">
        <v>10000</v>
      </c>
      <c r="D22" s="250">
        <v>16513.689999999999</v>
      </c>
      <c r="E22" s="251">
        <v>12000</v>
      </c>
      <c r="F22" s="781">
        <v>24307.53</v>
      </c>
      <c r="G22" s="252">
        <v>10787.54</v>
      </c>
      <c r="H22" s="939">
        <v>20000</v>
      </c>
      <c r="I22" s="253">
        <f t="shared" si="2"/>
        <v>166.66666666666669</v>
      </c>
      <c r="J22" s="409"/>
    </row>
    <row r="23" spans="1:10" s="48" customFormat="1" ht="15" customHeight="1" x14ac:dyDescent="0.2">
      <c r="A23" s="1280"/>
      <c r="B23" s="249" t="s">
        <v>381</v>
      </c>
      <c r="C23" s="251">
        <v>110000</v>
      </c>
      <c r="D23" s="250">
        <v>182173.64</v>
      </c>
      <c r="E23" s="251">
        <v>110000</v>
      </c>
      <c r="F23" s="781">
        <v>175794.08</v>
      </c>
      <c r="G23" s="252">
        <v>24205.66</v>
      </c>
      <c r="H23" s="939">
        <v>121000</v>
      </c>
      <c r="I23" s="253">
        <f t="shared" si="2"/>
        <v>110.00000000000001</v>
      </c>
      <c r="J23" s="409"/>
    </row>
    <row r="24" spans="1:10" s="48" customFormat="1" ht="15" customHeight="1" x14ac:dyDescent="0.2">
      <c r="A24" s="1280"/>
      <c r="B24" s="249" t="s">
        <v>19</v>
      </c>
      <c r="C24" s="251">
        <v>40000</v>
      </c>
      <c r="D24" s="250">
        <v>31978.560000000001</v>
      </c>
      <c r="E24" s="251">
        <v>40000</v>
      </c>
      <c r="F24" s="781">
        <v>61018.6</v>
      </c>
      <c r="G24" s="252">
        <v>1500</v>
      </c>
      <c r="H24" s="939">
        <v>61000</v>
      </c>
      <c r="I24" s="253">
        <f t="shared" si="2"/>
        <v>152.5</v>
      </c>
      <c r="J24" s="409"/>
    </row>
    <row r="25" spans="1:10" s="48" customFormat="1" ht="15" x14ac:dyDescent="0.2">
      <c r="A25" s="1280"/>
      <c r="B25" s="1194" t="s">
        <v>240</v>
      </c>
      <c r="C25" s="251">
        <v>0</v>
      </c>
      <c r="D25" s="250">
        <v>462.99</v>
      </c>
      <c r="E25" s="251">
        <v>0</v>
      </c>
      <c r="F25" s="781">
        <v>797</v>
      </c>
      <c r="G25" s="252">
        <v>874.61</v>
      </c>
      <c r="H25" s="939">
        <v>1500</v>
      </c>
      <c r="I25" s="253" t="s">
        <v>60</v>
      </c>
      <c r="J25" s="409"/>
    </row>
    <row r="26" spans="1:10" s="48" customFormat="1" ht="15" x14ac:dyDescent="0.2">
      <c r="A26" s="1281"/>
      <c r="B26" s="249" t="s">
        <v>294</v>
      </c>
      <c r="C26" s="251">
        <v>20000</v>
      </c>
      <c r="D26" s="250">
        <v>7057.38</v>
      </c>
      <c r="E26" s="251">
        <v>20000</v>
      </c>
      <c r="F26" s="781">
        <v>25759.74</v>
      </c>
      <c r="G26" s="252">
        <v>5634.06</v>
      </c>
      <c r="H26" s="939">
        <v>22000</v>
      </c>
      <c r="I26" s="253">
        <f t="shared" si="2"/>
        <v>110.00000000000001</v>
      </c>
      <c r="J26" s="409"/>
    </row>
    <row r="27" spans="1:10" ht="48.75" customHeight="1" x14ac:dyDescent="0.2">
      <c r="A27" s="1275" t="s">
        <v>93</v>
      </c>
      <c r="B27" s="1276"/>
      <c r="C27" s="247">
        <v>0</v>
      </c>
      <c r="D27" s="355">
        <v>0</v>
      </c>
      <c r="E27" s="247">
        <v>0</v>
      </c>
      <c r="F27" s="780">
        <v>1250</v>
      </c>
      <c r="G27" s="248">
        <v>0</v>
      </c>
      <c r="H27" s="920">
        <v>0</v>
      </c>
      <c r="I27" s="175" t="s">
        <v>60</v>
      </c>
      <c r="J27" s="31"/>
    </row>
    <row r="28" spans="1:10" ht="20.100000000000001" customHeight="1" x14ac:dyDescent="0.2">
      <c r="A28" s="107" t="s">
        <v>99</v>
      </c>
      <c r="B28" s="254"/>
      <c r="C28" s="247">
        <v>0</v>
      </c>
      <c r="D28" s="248">
        <v>3801.19</v>
      </c>
      <c r="E28" s="247">
        <v>0</v>
      </c>
      <c r="F28" s="780">
        <v>1002.39</v>
      </c>
      <c r="G28" s="248">
        <v>0</v>
      </c>
      <c r="H28" s="920">
        <v>0</v>
      </c>
      <c r="I28" s="175" t="s">
        <v>60</v>
      </c>
    </row>
    <row r="29" spans="1:10" ht="30.75" customHeight="1" x14ac:dyDescent="0.2">
      <c r="A29" s="1275" t="s">
        <v>74</v>
      </c>
      <c r="B29" s="1276"/>
      <c r="C29" s="256">
        <v>0</v>
      </c>
      <c r="D29" s="257">
        <v>68.33</v>
      </c>
      <c r="E29" s="256">
        <v>0</v>
      </c>
      <c r="F29" s="258">
        <v>7</v>
      </c>
      <c r="G29" s="257">
        <v>7</v>
      </c>
      <c r="H29" s="940">
        <v>0</v>
      </c>
      <c r="I29" s="175" t="s">
        <v>60</v>
      </c>
      <c r="J29" s="409"/>
    </row>
    <row r="30" spans="1:10" ht="29.25" customHeight="1" x14ac:dyDescent="0.2">
      <c r="A30" s="1275" t="s">
        <v>467</v>
      </c>
      <c r="B30" s="1276"/>
      <c r="C30" s="256">
        <v>40000</v>
      </c>
      <c r="D30" s="257">
        <v>151717.42000000001</v>
      </c>
      <c r="E30" s="256">
        <v>40000</v>
      </c>
      <c r="F30" s="258">
        <v>329202.95</v>
      </c>
      <c r="G30" s="257">
        <v>192407.39</v>
      </c>
      <c r="H30" s="940">
        <f>+'Kapitálové výdaje v kapitolách'!D11</f>
        <v>40000</v>
      </c>
      <c r="I30" s="175">
        <f t="shared" si="2"/>
        <v>100</v>
      </c>
    </row>
    <row r="31" spans="1:10" ht="29.25" customHeight="1" x14ac:dyDescent="0.2">
      <c r="A31" s="1275" t="s">
        <v>317</v>
      </c>
      <c r="B31" s="1276"/>
      <c r="C31" s="256">
        <f>+'Sumář příjmů a výdajů'!B53</f>
        <v>500000</v>
      </c>
      <c r="D31" s="257">
        <v>483315.31</v>
      </c>
      <c r="E31" s="256">
        <v>600000</v>
      </c>
      <c r="F31" s="258">
        <v>1008327.7</v>
      </c>
      <c r="G31" s="258">
        <v>308885.43</v>
      </c>
      <c r="H31" s="940">
        <f>+'Sumář příjmů a výdajů'!G53</f>
        <v>925000</v>
      </c>
      <c r="I31" s="175">
        <f t="shared" si="2"/>
        <v>154.16666666666669</v>
      </c>
      <c r="J31" s="409"/>
    </row>
    <row r="32" spans="1:10" ht="30" customHeight="1" x14ac:dyDescent="0.2">
      <c r="A32" s="1275" t="s">
        <v>318</v>
      </c>
      <c r="B32" s="1276"/>
      <c r="C32" s="256">
        <f>+'Sumář příjmů a výdajů'!B54</f>
        <v>1790000</v>
      </c>
      <c r="D32" s="257">
        <v>440066.56</v>
      </c>
      <c r="E32" s="256">
        <v>1296000</v>
      </c>
      <c r="F32" s="258">
        <v>1459071.82</v>
      </c>
      <c r="G32" s="653">
        <v>487329.73</v>
      </c>
      <c r="H32" s="940">
        <f>+'Sumář příjmů a výdajů'!G54</f>
        <v>951491</v>
      </c>
      <c r="I32" s="175">
        <f t="shared" si="2"/>
        <v>73.417515432098767</v>
      </c>
    </row>
    <row r="33" spans="1:10" ht="30" customHeight="1" x14ac:dyDescent="0.2">
      <c r="A33" s="1275" t="s">
        <v>396</v>
      </c>
      <c r="B33" s="1276"/>
      <c r="C33" s="256">
        <v>3200000</v>
      </c>
      <c r="D33" s="257">
        <v>2110983.63</v>
      </c>
      <c r="E33" s="256">
        <v>2593000</v>
      </c>
      <c r="F33" s="258">
        <v>4103223.05</v>
      </c>
      <c r="G33" s="257">
        <v>1491518.95</v>
      </c>
      <c r="H33" s="940">
        <v>1245080</v>
      </c>
      <c r="I33" s="175">
        <f t="shared" si="2"/>
        <v>48.016968762051675</v>
      </c>
      <c r="J33" s="409"/>
    </row>
    <row r="34" spans="1:10" ht="30" customHeight="1" x14ac:dyDescent="0.2">
      <c r="A34" s="1275" t="s">
        <v>397</v>
      </c>
      <c r="B34" s="1276"/>
      <c r="C34" s="256">
        <f>+'Sumář příjmů a výdajů'!B59</f>
        <v>66703</v>
      </c>
      <c r="D34" s="257">
        <v>2396.33</v>
      </c>
      <c r="E34" s="256">
        <v>283703</v>
      </c>
      <c r="F34" s="258">
        <v>283703</v>
      </c>
      <c r="G34" s="257">
        <v>242.2</v>
      </c>
      <c r="H34" s="940">
        <f>+'Sumář příjmů a výdajů'!G59</f>
        <v>54535</v>
      </c>
      <c r="I34" s="175">
        <f t="shared" si="2"/>
        <v>19.222567262242556</v>
      </c>
    </row>
    <row r="35" spans="1:10" ht="32.25" customHeight="1" x14ac:dyDescent="0.2">
      <c r="A35" s="1275" t="s">
        <v>100</v>
      </c>
      <c r="B35" s="1276"/>
      <c r="C35" s="256">
        <v>130000</v>
      </c>
      <c r="D35" s="257">
        <v>61004.9</v>
      </c>
      <c r="E35" s="256">
        <v>389000</v>
      </c>
      <c r="F35" s="258">
        <v>406940.17</v>
      </c>
      <c r="G35" s="257">
        <v>72131.25</v>
      </c>
      <c r="H35" s="940">
        <v>174837</v>
      </c>
      <c r="I35" s="175">
        <f t="shared" si="2"/>
        <v>44.945244215938303</v>
      </c>
    </row>
    <row r="36" spans="1:10" ht="20.100000000000001" customHeight="1" x14ac:dyDescent="0.2">
      <c r="A36" s="1275" t="s">
        <v>73</v>
      </c>
      <c r="B36" s="1276"/>
      <c r="C36" s="256">
        <f>+'Dluhová služba '!E37</f>
        <v>191240</v>
      </c>
      <c r="D36" s="257">
        <v>191045.52</v>
      </c>
      <c r="E36" s="256">
        <v>191208</v>
      </c>
      <c r="F36" s="258">
        <v>191208</v>
      </c>
      <c r="G36" s="257">
        <v>144200.72</v>
      </c>
      <c r="H36" s="940">
        <f>+'Sumář příjmů a výdajů'!G67</f>
        <v>191105</v>
      </c>
      <c r="I36" s="175">
        <f t="shared" si="2"/>
        <v>99.946131961005818</v>
      </c>
    </row>
    <row r="37" spans="1:10" ht="20.100000000000001" customHeight="1" thickBot="1" x14ac:dyDescent="0.25">
      <c r="A37" s="1275" t="s">
        <v>72</v>
      </c>
      <c r="B37" s="1276"/>
      <c r="C37" s="785">
        <v>0</v>
      </c>
      <c r="D37" s="260">
        <v>1721637.08</v>
      </c>
      <c r="E37" s="785">
        <v>0</v>
      </c>
      <c r="F37" s="783">
        <v>2311720.4500000002</v>
      </c>
      <c r="G37" s="260">
        <v>1348768.51</v>
      </c>
      <c r="H37" s="215">
        <v>0</v>
      </c>
      <c r="I37" s="175" t="s">
        <v>60</v>
      </c>
    </row>
    <row r="38" spans="1:10" s="101" customFormat="1" ht="30" customHeight="1" thickBot="1" x14ac:dyDescent="0.25">
      <c r="A38" s="722" t="s">
        <v>78</v>
      </c>
      <c r="B38" s="722"/>
      <c r="C38" s="276">
        <f>C9+SUM(C28:C37)</f>
        <v>6350943</v>
      </c>
      <c r="D38" s="723">
        <f>D9+SUM(D27:D37)</f>
        <v>5623097.0599999996</v>
      </c>
      <c r="E38" s="276">
        <f>E9+SUM(E27:E37)</f>
        <v>5748911</v>
      </c>
      <c r="F38" s="279">
        <f>F9+SUM(F27:F37)</f>
        <v>10832675.240000002</v>
      </c>
      <c r="G38" s="723">
        <f>G9+SUM(G27:G37)</f>
        <v>4228584.040000001</v>
      </c>
      <c r="H38" s="216">
        <f>H9+SUM(H27:H37)</f>
        <v>4221548</v>
      </c>
      <c r="I38" s="413">
        <f>H38/E38*100</f>
        <v>73.432133494500079</v>
      </c>
    </row>
    <row r="40" spans="1:10" x14ac:dyDescent="0.2">
      <c r="E40" s="31"/>
    </row>
    <row r="42" spans="1:10" x14ac:dyDescent="0.2">
      <c r="E42" s="244"/>
    </row>
  </sheetData>
  <mergeCells count="16">
    <mergeCell ref="A34:B34"/>
    <mergeCell ref="A35:B35"/>
    <mergeCell ref="A36:B36"/>
    <mergeCell ref="A37:B37"/>
    <mergeCell ref="C7:D7"/>
    <mergeCell ref="A29:B29"/>
    <mergeCell ref="A30:B30"/>
    <mergeCell ref="A31:B31"/>
    <mergeCell ref="A33:B33"/>
    <mergeCell ref="A27:B27"/>
    <mergeCell ref="A32:B32"/>
    <mergeCell ref="E7:G7"/>
    <mergeCell ref="H7:H8"/>
    <mergeCell ref="I7:I8"/>
    <mergeCell ref="A7:B8"/>
    <mergeCell ref="A10:A26"/>
  </mergeCells>
  <printOptions horizontalCentered="1"/>
  <pageMargins left="0.59055118110236227" right="0.59055118110236227" top="0.78740157480314965" bottom="0.78740157480314965" header="0.59055118110236227" footer="0.59055118110236227"/>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11"/>
  <sheetViews>
    <sheetView workbookViewId="0"/>
  </sheetViews>
  <sheetFormatPr defaultColWidth="9.140625" defaultRowHeight="12.75" x14ac:dyDescent="0.2"/>
  <cols>
    <col min="1" max="1" width="10.7109375" style="715" customWidth="1"/>
    <col min="2" max="2" width="10.7109375" style="706" customWidth="1"/>
    <col min="3" max="3" width="99.140625" style="330" customWidth="1"/>
    <col min="4" max="4" width="20.7109375" style="330" customWidth="1"/>
    <col min="5" max="5" width="9.140625" style="71"/>
    <col min="6" max="6" width="9.140625" style="71" customWidth="1"/>
    <col min="7" max="16384" width="9.140625" style="71"/>
  </cols>
  <sheetData>
    <row r="1" spans="1:4" ht="15" customHeight="1" x14ac:dyDescent="0.2"/>
    <row r="2" spans="1:4" ht="23.25" x14ac:dyDescent="0.2">
      <c r="A2" s="707" t="s">
        <v>486</v>
      </c>
    </row>
    <row r="3" spans="1:4" ht="15" customHeight="1" x14ac:dyDescent="0.2"/>
    <row r="4" spans="1:4" ht="20.100000000000001" customHeight="1" x14ac:dyDescent="0.2">
      <c r="A4" s="708" t="s">
        <v>360</v>
      </c>
    </row>
    <row r="5" spans="1:4" ht="15" customHeight="1" x14ac:dyDescent="0.2">
      <c r="A5" s="708"/>
    </row>
    <row r="6" spans="1:4" ht="15" customHeight="1" thickBot="1" x14ac:dyDescent="0.25">
      <c r="D6" s="606" t="s">
        <v>0</v>
      </c>
    </row>
    <row r="7" spans="1:4" ht="35.1" customHeight="1" thickBot="1" x14ac:dyDescent="0.25">
      <c r="A7" s="231" t="s">
        <v>25</v>
      </c>
      <c r="B7" s="232" t="s">
        <v>88</v>
      </c>
      <c r="C7" s="714" t="s">
        <v>90</v>
      </c>
      <c r="D7" s="607" t="s">
        <v>488</v>
      </c>
    </row>
    <row r="8" spans="1:4" ht="35.1" customHeight="1" x14ac:dyDescent="0.2">
      <c r="A8" s="709" t="s">
        <v>69</v>
      </c>
      <c r="B8" s="710" t="s">
        <v>366</v>
      </c>
      <c r="C8" s="770" t="s">
        <v>568</v>
      </c>
      <c r="D8" s="920">
        <v>25000</v>
      </c>
    </row>
    <row r="9" spans="1:4" ht="30" customHeight="1" x14ac:dyDescent="0.2">
      <c r="A9" s="709" t="s">
        <v>22</v>
      </c>
      <c r="B9" s="710" t="s">
        <v>379</v>
      </c>
      <c r="C9" s="873" t="s">
        <v>465</v>
      </c>
      <c r="D9" s="920">
        <v>10000</v>
      </c>
    </row>
    <row r="10" spans="1:4" ht="20.25" customHeight="1" thickBot="1" x14ac:dyDescent="0.25">
      <c r="A10" s="709" t="s">
        <v>232</v>
      </c>
      <c r="B10" s="710" t="s">
        <v>364</v>
      </c>
      <c r="C10" s="711" t="s">
        <v>374</v>
      </c>
      <c r="D10" s="920">
        <v>5000</v>
      </c>
    </row>
    <row r="11" spans="1:4" s="101" customFormat="1" ht="30.75" customHeight="1" thickBot="1" x14ac:dyDescent="0.25">
      <c r="A11" s="1282" t="s">
        <v>363</v>
      </c>
      <c r="B11" s="1283"/>
      <c r="C11" s="1283"/>
      <c r="D11" s="216">
        <f>SUM(D8:D10)</f>
        <v>40000</v>
      </c>
    </row>
    <row r="411" spans="1:2" s="330" customFormat="1" x14ac:dyDescent="0.2">
      <c r="A411" s="712"/>
      <c r="B411" s="706"/>
    </row>
  </sheetData>
  <mergeCells count="1">
    <mergeCell ref="A11:C11"/>
  </mergeCells>
  <pageMargins left="0.70866141732283472" right="0.70866141732283472" top="0.78740157480314965" bottom="0.78740157480314965"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16"/>
  <sheetViews>
    <sheetView workbookViewId="0"/>
  </sheetViews>
  <sheetFormatPr defaultColWidth="9.140625" defaultRowHeight="12.75" x14ac:dyDescent="0.2"/>
  <cols>
    <col min="1" max="1" width="10.7109375" style="47" customWidth="1"/>
    <col min="2" max="2" width="10.7109375" style="49" customWidth="1"/>
    <col min="3" max="3" width="88.7109375" style="40" customWidth="1"/>
    <col min="4" max="4" width="20.7109375" style="40" customWidth="1"/>
    <col min="5" max="5" width="9.140625" style="29"/>
    <col min="6" max="6" width="9.140625" style="29" customWidth="1"/>
    <col min="7" max="16384" width="9.140625" style="29"/>
  </cols>
  <sheetData>
    <row r="1" spans="1:4" ht="15" customHeight="1" x14ac:dyDescent="0.2"/>
    <row r="2" spans="1:4" ht="23.25" x14ac:dyDescent="0.35">
      <c r="A2" s="30" t="s">
        <v>486</v>
      </c>
    </row>
    <row r="3" spans="1:4" ht="15" customHeight="1" x14ac:dyDescent="0.2"/>
    <row r="4" spans="1:4" ht="20.100000000000001" customHeight="1" x14ac:dyDescent="0.3">
      <c r="A4" s="168" t="s">
        <v>237</v>
      </c>
    </row>
    <row r="5" spans="1:4" ht="15" customHeight="1" x14ac:dyDescent="0.3">
      <c r="A5" s="168"/>
    </row>
    <row r="6" spans="1:4" ht="15" customHeight="1" thickBot="1" x14ac:dyDescent="0.3">
      <c r="D6" s="45" t="s">
        <v>0</v>
      </c>
    </row>
    <row r="7" spans="1:4" s="71" customFormat="1" ht="35.1" customHeight="1" thickBot="1" x14ac:dyDescent="0.25">
      <c r="A7" s="231" t="s">
        <v>25</v>
      </c>
      <c r="B7" s="232" t="s">
        <v>88</v>
      </c>
      <c r="C7" s="714" t="s">
        <v>90</v>
      </c>
      <c r="D7" s="233" t="s">
        <v>488</v>
      </c>
    </row>
    <row r="8" spans="1:4" s="71" customFormat="1" ht="15.95" customHeight="1" x14ac:dyDescent="0.2">
      <c r="A8" s="709" t="s">
        <v>69</v>
      </c>
      <c r="B8" s="710" t="s">
        <v>366</v>
      </c>
      <c r="C8" s="770" t="s">
        <v>565</v>
      </c>
      <c r="D8" s="921">
        <v>123300</v>
      </c>
    </row>
    <row r="9" spans="1:4" s="71" customFormat="1" ht="15.95" customHeight="1" x14ac:dyDescent="0.2">
      <c r="A9" s="691" t="s">
        <v>293</v>
      </c>
      <c r="B9" s="697" t="s">
        <v>571</v>
      </c>
      <c r="C9" s="837" t="s">
        <v>525</v>
      </c>
      <c r="D9" s="921">
        <v>89300</v>
      </c>
    </row>
    <row r="10" spans="1:4" s="71" customFormat="1" ht="15.95" customHeight="1" x14ac:dyDescent="0.2">
      <c r="A10" s="691" t="s">
        <v>293</v>
      </c>
      <c r="B10" s="697" t="s">
        <v>571</v>
      </c>
      <c r="C10" s="837" t="s">
        <v>526</v>
      </c>
      <c r="D10" s="921">
        <v>66694</v>
      </c>
    </row>
    <row r="11" spans="1:4" s="71" customFormat="1" ht="15.95" customHeight="1" x14ac:dyDescent="0.2">
      <c r="A11" s="691" t="s">
        <v>293</v>
      </c>
      <c r="B11" s="697" t="s">
        <v>571</v>
      </c>
      <c r="C11" s="837" t="s">
        <v>574</v>
      </c>
      <c r="D11" s="921">
        <v>20000</v>
      </c>
    </row>
    <row r="12" spans="1:4" s="71" customFormat="1" ht="15.95" customHeight="1" x14ac:dyDescent="0.2">
      <c r="A12" s="691" t="s">
        <v>293</v>
      </c>
      <c r="B12" s="697" t="s">
        <v>572</v>
      </c>
      <c r="C12" s="837" t="s">
        <v>527</v>
      </c>
      <c r="D12" s="921">
        <v>15000</v>
      </c>
    </row>
    <row r="13" spans="1:4" s="71" customFormat="1" ht="15.95" customHeight="1" thickBot="1" x14ac:dyDescent="0.25">
      <c r="A13" s="691" t="s">
        <v>293</v>
      </c>
      <c r="B13" s="697" t="s">
        <v>572</v>
      </c>
      <c r="C13" s="837" t="s">
        <v>470</v>
      </c>
      <c r="D13" s="921">
        <v>55000</v>
      </c>
    </row>
    <row r="14" spans="1:4" s="101" customFormat="1" ht="30.75" customHeight="1" thickBot="1" x14ac:dyDescent="0.25">
      <c r="A14" s="1282" t="s">
        <v>241</v>
      </c>
      <c r="B14" s="1283"/>
      <c r="C14" s="1283"/>
      <c r="D14" s="216">
        <f>SUM(D8:D13)</f>
        <v>369294</v>
      </c>
    </row>
    <row r="17" spans="1:4" ht="14.25" customHeight="1" x14ac:dyDescent="0.2">
      <c r="A17" s="50"/>
      <c r="B17" s="29"/>
      <c r="C17" s="29"/>
      <c r="D17" s="29"/>
    </row>
    <row r="416" spans="1:2" s="40" customFormat="1" x14ac:dyDescent="0.2">
      <c r="A416" s="51"/>
      <c r="B416" s="49"/>
    </row>
  </sheetData>
  <sortState xmlns:xlrd2="http://schemas.microsoft.com/office/spreadsheetml/2017/richdata2" ref="A8:D13">
    <sortCondition ref="A8:A13"/>
  </sortState>
  <mergeCells count="1">
    <mergeCell ref="A14:C14"/>
  </mergeCells>
  <pageMargins left="0.51181102362204722" right="0.11811023622047245"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7</vt:i4>
      </vt:variant>
    </vt:vector>
  </HeadingPairs>
  <TitlesOfParts>
    <vt:vector size="42" baseType="lpstr">
      <vt:lpstr>Úvodní strana</vt:lpstr>
      <vt:lpstr>Bilance</vt:lpstr>
      <vt:lpstr>Sumář příjmů a výdajů</vt:lpstr>
      <vt:lpstr>Fondy</vt:lpstr>
      <vt:lpstr>Projekty EU a NZ</vt:lpstr>
      <vt:lpstr>Dluhová služba </vt:lpstr>
      <vt:lpstr>Kapitálové výdaje </vt:lpstr>
      <vt:lpstr>Kapitálové výdaje v kapitolách</vt:lpstr>
      <vt:lpstr>Specifické rezervy</vt:lpstr>
      <vt:lpstr>Příspěvky PO</vt:lpstr>
      <vt:lpstr>Běžné výdaje kapitol</vt:lpstr>
      <vt:lpstr>01</vt:lpstr>
      <vt:lpstr>02</vt:lpstr>
      <vt:lpstr>03</vt:lpstr>
      <vt:lpstr>04</vt:lpstr>
      <vt:lpstr>05</vt:lpstr>
      <vt:lpstr>06</vt:lpstr>
      <vt:lpstr>07</vt:lpstr>
      <vt:lpstr>08</vt:lpstr>
      <vt:lpstr>09</vt:lpstr>
      <vt:lpstr>10</vt:lpstr>
      <vt:lpstr>11</vt:lpstr>
      <vt:lpstr>13</vt:lpstr>
      <vt:lpstr>14</vt:lpstr>
      <vt:lpstr>15</vt:lpstr>
      <vt:lpstr>16</vt:lpstr>
      <vt:lpstr>17</vt:lpstr>
      <vt:lpstr>18</vt:lpstr>
      <vt:lpstr>23</vt:lpstr>
      <vt:lpstr>24</vt:lpstr>
      <vt:lpstr>25</vt:lpstr>
      <vt:lpstr>26</vt:lpstr>
      <vt:lpstr>27</vt:lpstr>
      <vt:lpstr>Kapitoly - shrnutí BV</vt:lpstr>
      <vt:lpstr>Semafor</vt:lpstr>
      <vt:lpstr>'05'!Názvy_tisku</vt:lpstr>
      <vt:lpstr>'06'!Názvy_tisku</vt:lpstr>
      <vt:lpstr>'08'!Názvy_tisku</vt:lpstr>
      <vt:lpstr>'13'!Názvy_tisku</vt:lpstr>
      <vt:lpstr>'17'!Názvy_tisku</vt:lpstr>
      <vt:lpstr>'Příspěvky PO'!Názvy_tisku</vt:lpstr>
      <vt:lpstr>'Sumář příjmů a výdajů'!Názvy_tisku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Pokorná Lucie</cp:lastModifiedBy>
  <cp:lastPrinted>2023-10-31T12:37:30Z</cp:lastPrinted>
  <dcterms:created xsi:type="dcterms:W3CDTF">2014-09-16T07:52:57Z</dcterms:created>
  <dcterms:modified xsi:type="dcterms:W3CDTF">2023-11-01T12:21:18Z</dcterms:modified>
</cp:coreProperties>
</file>